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599" activeTab="7"/>
  </bookViews>
  <sheets>
    <sheet name="TABLICA 1-3" sheetId="1" r:id="rId1"/>
    <sheet name="TABLICA 4-5" sheetId="2" r:id="rId2"/>
    <sheet name="TABLICA 6" sheetId="3" r:id="rId3"/>
    <sheet name="TABLICA 7" sheetId="4" r:id="rId4"/>
    <sheet name="TABLICA 8" sheetId="5" r:id="rId5"/>
    <sheet name="TABLICA 9" sheetId="6" r:id="rId6"/>
    <sheet name="TABLICA 10" sheetId="7" r:id="rId7"/>
    <sheet name="TABLICA 11" sheetId="8" r:id="rId8"/>
  </sheets>
  <definedNames/>
  <calcPr fullCalcOnLoad="1"/>
</workbook>
</file>

<file path=xl/sharedStrings.xml><?xml version="1.0" encoding="utf-8"?>
<sst xmlns="http://schemas.openxmlformats.org/spreadsheetml/2006/main" count="2661" uniqueCount="1442">
  <si>
    <t xml:space="preserve">  RASHODI ZA USLUGE </t>
  </si>
  <si>
    <t xml:space="preserve">  Usluge promidžbe i informiranja </t>
  </si>
  <si>
    <t xml:space="preserve">  Ostale usluge </t>
  </si>
  <si>
    <t xml:space="preserve">  OSTALI NESPOMENUTI RASHODI POSL. </t>
  </si>
  <si>
    <t xml:space="preserve">  Premije osiguranja </t>
  </si>
  <si>
    <t xml:space="preserve">  Ostali nespomenuti rashodi </t>
  </si>
  <si>
    <t xml:space="preserve">  OSTALI RASHODI </t>
  </si>
  <si>
    <t xml:space="preserve">  IZVANREDNI RASHODI </t>
  </si>
  <si>
    <t xml:space="preserve">  Nepredviđeni rashodi - proračunska pričuva </t>
  </si>
  <si>
    <t xml:space="preserve">  PROIZVEDENA DUGOTRAJNA IMOVINA </t>
  </si>
  <si>
    <t xml:space="preserve">  POSTROJENJA I OPREMA </t>
  </si>
  <si>
    <t xml:space="preserve">  Uredska oprema i namještaj </t>
  </si>
  <si>
    <t xml:space="preserve">  Komunikacijska oprema </t>
  </si>
  <si>
    <t xml:space="preserve">  Oprema za održavanje i zaštitu </t>
  </si>
  <si>
    <t xml:space="preserve">  NEMATERIJALNA PROIZVED. IMOVINA </t>
  </si>
  <si>
    <t xml:space="preserve">  Ulaganje u računalne programe </t>
  </si>
  <si>
    <t>RASHODI POSLOVANJA</t>
  </si>
  <si>
    <t xml:space="preserve">  OSTALI NESP. RASHODI POSLOVANJA </t>
  </si>
  <si>
    <t xml:space="preserve">  Naknade članovima upravnog vijeća </t>
  </si>
  <si>
    <t xml:space="preserve">  RASHODI ZA MATERIJAL I ENERGIJU </t>
  </si>
  <si>
    <t xml:space="preserve">  Uredski materijal i ostali mat.rashodi </t>
  </si>
  <si>
    <t xml:space="preserve">  Materijal i djelovi za tekuće i inv.održavanje </t>
  </si>
  <si>
    <t xml:space="preserve">  Sitni inventar </t>
  </si>
  <si>
    <t xml:space="preserve">  Usluge telefona, pošte i prijevoza </t>
  </si>
  <si>
    <t xml:space="preserve">  Intelektualne i osobne usluge  </t>
  </si>
  <si>
    <t xml:space="preserve">  OSTALI NESPOMENUTI RASHODI </t>
  </si>
  <si>
    <t xml:space="preserve">  RASHODI ZA NABAVU NEFIN. IMOVINE </t>
  </si>
  <si>
    <t xml:space="preserve">  KNJIGE, UMJ.DJELA I OSTALE VRIJED. </t>
  </si>
  <si>
    <t xml:space="preserve">  Knjige u knjižnici </t>
  </si>
  <si>
    <t xml:space="preserve">  UKUPNO RASHODI I IZDACI </t>
  </si>
  <si>
    <t xml:space="preserve"> Komunikacijska oprema</t>
  </si>
  <si>
    <t xml:space="preserve"> Oprema za održavanje i zaštitu</t>
  </si>
  <si>
    <t xml:space="preserve"> POSTROJENJA I OPREMA</t>
  </si>
  <si>
    <t xml:space="preserve"> KNJIGE, UMJET.DJELA I OSTALE VRIJEDNOSTI</t>
  </si>
  <si>
    <t xml:space="preserve"> NEMATERIJALNA PROIZVEDENA IMOVINA</t>
  </si>
  <si>
    <t>3237</t>
  </si>
  <si>
    <t xml:space="preserve">  Intelektualne i osobne usluge </t>
  </si>
  <si>
    <t xml:space="preserve">   Reprezentacija</t>
  </si>
  <si>
    <t xml:space="preserve">RASHODI ZA ZAPOSLENE </t>
  </si>
  <si>
    <t xml:space="preserve">Plaće za redovan rad </t>
  </si>
  <si>
    <t xml:space="preserve">OSTALI RASHODI ZA ZAPOSLENE </t>
  </si>
  <si>
    <t xml:space="preserve">Ostali rashodi za zaposlene </t>
  </si>
  <si>
    <t xml:space="preserve">DOPRINOSI NA PLAĆE </t>
  </si>
  <si>
    <t>MATERIJALNI RASHODI</t>
  </si>
  <si>
    <t xml:space="preserve">NAKNADA TROŠKOVA ZAPOSLENIMA </t>
  </si>
  <si>
    <t>Službena putovanja</t>
  </si>
  <si>
    <t>Stručno usavršavanje zaposlenika</t>
  </si>
  <si>
    <t xml:space="preserve">RASHODI ZA MATERIJAL I ENERGIJU </t>
  </si>
  <si>
    <t xml:space="preserve">Uredski materijal i ostali materijalni rashodi </t>
  </si>
  <si>
    <t xml:space="preserve">Energija </t>
  </si>
  <si>
    <t xml:space="preserve">Materijal i djel. za tekuće i invest. održavanje </t>
  </si>
  <si>
    <t>Sitni inventar</t>
  </si>
  <si>
    <t xml:space="preserve">RASHODI ZA USLUGE </t>
  </si>
  <si>
    <t xml:space="preserve">Usluge telefona, pošte i prijevoza </t>
  </si>
  <si>
    <t xml:space="preserve">Usluge tekućeg i investicijskog održavanja </t>
  </si>
  <si>
    <t xml:space="preserve">Komunalne usluge </t>
  </si>
  <si>
    <t xml:space="preserve">Računalne usluge </t>
  </si>
  <si>
    <t xml:space="preserve">OSTALI NESPOMENUTI RASHODI POSL. </t>
  </si>
  <si>
    <t xml:space="preserve">  RASHODI POSLOVANJA</t>
  </si>
  <si>
    <t xml:space="preserve">  FINANCIJSKI RASHODI </t>
  </si>
  <si>
    <t xml:space="preserve">  OSTALI FINANCIJSKI RASHODI</t>
  </si>
  <si>
    <t xml:space="preserve">  Bankarske usluge i usluge platnog prometa</t>
  </si>
  <si>
    <t xml:space="preserve">  Zatezne kamate</t>
  </si>
  <si>
    <t xml:space="preserve">  MATERIJALNI RASHODI</t>
  </si>
  <si>
    <t xml:space="preserve">  OSTALI RASHODI POSLOVANJA</t>
  </si>
  <si>
    <t xml:space="preserve">  Rashodi za protupožarnu zaštitu</t>
  </si>
  <si>
    <t xml:space="preserve">  DONACIJE I OSTALI RASHODI</t>
  </si>
  <si>
    <t xml:space="preserve">  TEKUĆE DONACIJE</t>
  </si>
  <si>
    <t xml:space="preserve">  - Sufinanciranje cijene prijevoza</t>
  </si>
  <si>
    <t xml:space="preserve">  Tekuće donacije u novcu</t>
  </si>
  <si>
    <t xml:space="preserve">  RASHODI ZA MATERIJAL I ENERGIJU</t>
  </si>
  <si>
    <t xml:space="preserve">  Materijal i djelovi za tekuće i invest.održ.</t>
  </si>
  <si>
    <t xml:space="preserve">  RASHODI ZA USLUGE</t>
  </si>
  <si>
    <t xml:space="preserve">  Usluge tekućeg i investicijskog održavanja</t>
  </si>
  <si>
    <t xml:space="preserve">  RASHODI ZA NABAVU NEFIN. IMOVINE</t>
  </si>
  <si>
    <t xml:space="preserve">  DODATNA ULAGANJA NA NEF.IMOVINI</t>
  </si>
  <si>
    <t xml:space="preserve">  DODATNA ULAG. NA GRAĐ.OBJEKTIMA</t>
  </si>
  <si>
    <t xml:space="preserve">  SUBVENCIJE</t>
  </si>
  <si>
    <t xml:space="preserve">  SUBVENCIJE IZVAN JAVNOG SEKTORA</t>
  </si>
  <si>
    <t xml:space="preserve">  Subvencije poljoprivrednicima</t>
  </si>
  <si>
    <t xml:space="preserve">  Materijal i djelovi za održavanje cesta</t>
  </si>
  <si>
    <t xml:space="preserve">  RASHODI ZA  NEPROIZVED. IMOVINU </t>
  </si>
  <si>
    <t xml:space="preserve">  PRIRODNA BOGATSTVA </t>
  </si>
  <si>
    <t xml:space="preserve">  RASHODI ZA PROIZ.DUGOTR. IMOVINU</t>
  </si>
  <si>
    <t xml:space="preserve">  GRAĐEVINSKI OBJEKTI</t>
  </si>
  <si>
    <t xml:space="preserve">  KAPITALNE POMOĆI</t>
  </si>
  <si>
    <t xml:space="preserve">  Geodetsko-katastarske usluge</t>
  </si>
  <si>
    <t xml:space="preserve">  NEMATERIJALNA PROIZVED. IMOVINA</t>
  </si>
  <si>
    <t xml:space="preserve">  Prijenosi Hvarskom vodovodu Jelsa</t>
  </si>
  <si>
    <t xml:space="preserve">  Materijal za tekuće i invest.održavanje jav.rasv.</t>
  </si>
  <si>
    <t xml:space="preserve">  Materijal za tekuće i invest.održavanje </t>
  </si>
  <si>
    <t xml:space="preserve">  Usluge tekućeg i investicijskog održavanja </t>
  </si>
  <si>
    <t xml:space="preserve">  Komunalne usluge </t>
  </si>
  <si>
    <t xml:space="preserve">  KAPITALNE DONACIJE</t>
  </si>
  <si>
    <t xml:space="preserve">  TEKUĆE DONACIJE </t>
  </si>
  <si>
    <t xml:space="preserve">  Tekuće donacije u novcu </t>
  </si>
  <si>
    <t>3236</t>
  </si>
  <si>
    <t xml:space="preserve">  Veterinarske usluge</t>
  </si>
  <si>
    <t xml:space="preserve"> Zdravstvene i veterinarske usluge</t>
  </si>
  <si>
    <t xml:space="preserve">  Sitni inventar</t>
  </si>
  <si>
    <t xml:space="preserve">  Usluge promidžbe i informiranja</t>
  </si>
  <si>
    <t xml:space="preserve">  Intelektualne i osobne usluge -honorari i sl.</t>
  </si>
  <si>
    <t xml:space="preserve">  OSTALI NESPOMENUTI RASHODI POSL.</t>
  </si>
  <si>
    <t xml:space="preserve">  Reprezentacija</t>
  </si>
  <si>
    <t xml:space="preserve">  Ostali nespomenuti rashodi poslovanja</t>
  </si>
  <si>
    <t xml:space="preserve">  Tekuće donacije udrugama u kulturi</t>
  </si>
  <si>
    <t xml:space="preserve">  - Dramski studio mladih Hvar</t>
  </si>
  <si>
    <t xml:space="preserve">  - Folklorno društvo "Šaltin" Hvar</t>
  </si>
  <si>
    <t xml:space="preserve">  - GSU "Stela Maris" Hvar</t>
  </si>
  <si>
    <t xml:space="preserve">  - Donacije polit.strankama zastupljenim u GV</t>
  </si>
  <si>
    <t xml:space="preserve">  NAKNADE GRAĐANIMA I KUĆANSTVIMA</t>
  </si>
  <si>
    <t xml:space="preserve">  NAKNADE GRAĐ. I KUĆ. IZ PRORAČUNA</t>
  </si>
  <si>
    <t xml:space="preserve">  Naknade građanima i kućanstvima u novcu</t>
  </si>
  <si>
    <t xml:space="preserve">  - Jednokratne novčane pomoći</t>
  </si>
  <si>
    <t xml:space="preserve">  Naknade građanima i kućanstvima u naravi</t>
  </si>
  <si>
    <t xml:space="preserve">  - Troškovi borbe protiv ovisnosti</t>
  </si>
  <si>
    <t xml:space="preserve">  - Subvencije boravka djece u vrtiću</t>
  </si>
  <si>
    <t xml:space="preserve">  - Subvencije stacionara</t>
  </si>
  <si>
    <t xml:space="preserve">  - Ostale naknade u naravi</t>
  </si>
  <si>
    <t xml:space="preserve">  Stipendije i školarine</t>
  </si>
  <si>
    <t xml:space="preserve">  - naknade za troškove stanovanja</t>
  </si>
  <si>
    <t xml:space="preserve">  PROIZVEDENA DUGOTRAJNA IMOVINA</t>
  </si>
  <si>
    <t xml:space="preserve">  Dom za starije "Novak Leonidas"</t>
  </si>
  <si>
    <t xml:space="preserve">  RASHODI ZA ZAPOSLENE </t>
  </si>
  <si>
    <t xml:space="preserve">  Plaće za redovan rad </t>
  </si>
  <si>
    <t xml:space="preserve">  OSTALI RASHODI ZA ZAPOSLENE </t>
  </si>
  <si>
    <t xml:space="preserve">  Ostali rashodi za zaposlene </t>
  </si>
  <si>
    <t xml:space="preserve">  DOPRINOSI NA PLAĆE </t>
  </si>
  <si>
    <t xml:space="preserve">  - Pomoći za novorođenu djecu</t>
  </si>
  <si>
    <t xml:space="preserve"> Ostali prihodi od nefinancijske imovine</t>
  </si>
  <si>
    <t xml:space="preserve"> - prihodi od spomeničke rente</t>
  </si>
  <si>
    <t xml:space="preserve"> - naknada za korištenje javnih površina</t>
  </si>
  <si>
    <t xml:space="preserve">  Energija - javna rasvjeta </t>
  </si>
  <si>
    <t>32</t>
  </si>
  <si>
    <t>323</t>
  </si>
  <si>
    <t>3232</t>
  </si>
  <si>
    <t xml:space="preserve">  Gorska služba spašavanja - tekuća donacija</t>
  </si>
  <si>
    <t xml:space="preserve">  DVD Hvar - tekuća donacija</t>
  </si>
  <si>
    <t xml:space="preserve">  - Udruga "Pjover" V.Grablje</t>
  </si>
  <si>
    <t xml:space="preserve">  Održavanje oborinske i fekalne kanalizacije</t>
  </si>
  <si>
    <t xml:space="preserve">  Energija</t>
  </si>
  <si>
    <t xml:space="preserve">  OSTALI NESPOMENUTI RASHODI POSLOVANJA</t>
  </si>
  <si>
    <t xml:space="preserve">  Oprema i namještaj</t>
  </si>
  <si>
    <t xml:space="preserve">  NAKNADE TROŠKOVA ZAPOSLENIMA</t>
  </si>
  <si>
    <t>3212</t>
  </si>
  <si>
    <t xml:space="preserve">  Naknada za prijevoz na posao i s posla</t>
  </si>
  <si>
    <t>Naknada prijevoza na posao i s posla</t>
  </si>
  <si>
    <t xml:space="preserve"> Naknada za prijevoz na posao i s posla</t>
  </si>
  <si>
    <t xml:space="preserve">382 </t>
  </si>
  <si>
    <t>3821</t>
  </si>
  <si>
    <t xml:space="preserve">  Uređenje i održavanje sportskih terena</t>
  </si>
  <si>
    <t xml:space="preserve">  Tekuće donacije vjerskim zajednicama</t>
  </si>
  <si>
    <t>GRAD HVAR</t>
  </si>
  <si>
    <t xml:space="preserve"> Dodatna ulaganja na građevinskim objektima</t>
  </si>
  <si>
    <t xml:space="preserve">  Ostale usluge</t>
  </si>
  <si>
    <t xml:space="preserve">  - kapitalne pomoći iz županijskog proračuna</t>
  </si>
  <si>
    <t xml:space="preserve">  - tekuće pomoći iz državnog proračuna</t>
  </si>
  <si>
    <t xml:space="preserve">  - tekuće pomoći iz županijskog proračuna</t>
  </si>
  <si>
    <t xml:space="preserve">  - kapitalne pomoći iz državnog proračuna</t>
  </si>
  <si>
    <t xml:space="preserve"> - kamate na oročena sredstva</t>
  </si>
  <si>
    <t xml:space="preserve"> - naknade za koncesije na pomorskom dobru</t>
  </si>
  <si>
    <t xml:space="preserve"> - ostale nespomenute kazne</t>
  </si>
  <si>
    <t xml:space="preserve"> - tekuće donacije neprofitnih organizacija</t>
  </si>
  <si>
    <t xml:space="preserve"> - prihodi od prodaje građevinskog zemljišta</t>
  </si>
  <si>
    <t xml:space="preserve"> Prihodi od prodaje stambenih objekata</t>
  </si>
  <si>
    <t xml:space="preserve">  Razvoj sustava zaštite i spašavanja</t>
  </si>
  <si>
    <t>422</t>
  </si>
  <si>
    <t xml:space="preserve">  POSTROJENJA I OPREMA</t>
  </si>
  <si>
    <t>4227</t>
  </si>
  <si>
    <t>421</t>
  </si>
  <si>
    <t>4213</t>
  </si>
  <si>
    <t xml:space="preserve">  Izgradnja javnih površina</t>
  </si>
  <si>
    <t xml:space="preserve">  Naknade članovima vijeća za koncesije</t>
  </si>
  <si>
    <t xml:space="preserve"> PRIHODI OD POREZA</t>
  </si>
  <si>
    <t xml:space="preserve"> POREZ I PRIREZ NA DOHODAK</t>
  </si>
  <si>
    <t xml:space="preserve"> Porez i prirez na doh. od nesamostalnog rada</t>
  </si>
  <si>
    <t xml:space="preserve"> Porez i prirez na doh. od samostalnih djelatnosti</t>
  </si>
  <si>
    <t xml:space="preserve"> Porez i prirez na doh. od imovine i imov.prava</t>
  </si>
  <si>
    <t xml:space="preserve"> Porez i prirez na dohodak po godišnjoj prijavi</t>
  </si>
  <si>
    <t xml:space="preserve"> POREZ NA IMOVINU</t>
  </si>
  <si>
    <t xml:space="preserve"> Stalni porezi na nepokretnu imovinu</t>
  </si>
  <si>
    <t xml:space="preserve"> Povremeni porezi na imovinu</t>
  </si>
  <si>
    <t xml:space="preserve"> POREZI NA ROBU I USLUGE</t>
  </si>
  <si>
    <t xml:space="preserve"> Porez na promet </t>
  </si>
  <si>
    <t xml:space="preserve"> P O M O Ć I</t>
  </si>
  <si>
    <t xml:space="preserve"> Tekuće pomoći iz proračuna</t>
  </si>
  <si>
    <t xml:space="preserve"> Kapitalne pomoći iz proračuna</t>
  </si>
  <si>
    <t xml:space="preserve"> PRIHODI OD IMOVINE</t>
  </si>
  <si>
    <t xml:space="preserve"> PRIHODI OD FINANCIJSKE IMOVINE</t>
  </si>
  <si>
    <t xml:space="preserve"> Kamate na oročena sredstva i depozite po viđenju</t>
  </si>
  <si>
    <t xml:space="preserve"> PRIHODI OD NEFINANCIJSKE IMOVINE</t>
  </si>
  <si>
    <t xml:space="preserve"> Naknada za koncesije</t>
  </si>
  <si>
    <t xml:space="preserve"> Prihodi od zakupa i iznajmljivanja imovine</t>
  </si>
  <si>
    <t xml:space="preserve"> PRIH. OD  PRISTOJBI I PO POSEBNIM PROPISIMA</t>
  </si>
  <si>
    <t xml:space="preserve"> Gradske pristojbe i naknade</t>
  </si>
  <si>
    <t xml:space="preserve"> PRIHODI PO POSEBNIM PROPISIMA</t>
  </si>
  <si>
    <t xml:space="preserve"> Ostale kazne</t>
  </si>
  <si>
    <t xml:space="preserve"> DONACIJE OD PRAVNIH I FIZIČKIH OSOBA</t>
  </si>
  <si>
    <t xml:space="preserve"> Tekuće donacije</t>
  </si>
  <si>
    <t xml:space="preserve"> PRIHODI OD PRODAJE MATERIJALNE IMOVINE</t>
  </si>
  <si>
    <t xml:space="preserve"> Prihodi od prodaje zemljišta</t>
  </si>
  <si>
    <t xml:space="preserve"> PRIHODI OD PRODAJE GRAĐEVIN.OBJEKATA</t>
  </si>
  <si>
    <t xml:space="preserve"> RASHODI ZA ZAPOSLENE</t>
  </si>
  <si>
    <t xml:space="preserve"> Plaće za redovan rad</t>
  </si>
  <si>
    <t xml:space="preserve"> Ostali rashodi za zaposlene</t>
  </si>
  <si>
    <t xml:space="preserve"> MATERIJALNI RASHODI</t>
  </si>
  <si>
    <t xml:space="preserve"> Službena putovanja</t>
  </si>
  <si>
    <t xml:space="preserve"> Stručno usavršavanje zaposlenika</t>
  </si>
  <si>
    <t xml:space="preserve"> Uredski materijal i ostali materijalni rashodi</t>
  </si>
  <si>
    <t xml:space="preserve"> Energija</t>
  </si>
  <si>
    <t xml:space="preserve"> Materijal i djelovi za tekuće i invest.održavanje</t>
  </si>
  <si>
    <t xml:space="preserve"> Sitni inventar</t>
  </si>
  <si>
    <t xml:space="preserve"> Usluge telefona, pošte i prijevoza</t>
  </si>
  <si>
    <t xml:space="preserve">  Održavanje i sanacija divljih odlagališta otpada</t>
  </si>
  <si>
    <t xml:space="preserve"> Usluge tekućeg i investicijskog održavanja</t>
  </si>
  <si>
    <t xml:space="preserve"> Usluge promidžbe i informiranja</t>
  </si>
  <si>
    <t xml:space="preserve"> Komunalne usluge</t>
  </si>
  <si>
    <t xml:space="preserve"> Zakupnine i najamnine</t>
  </si>
  <si>
    <t xml:space="preserve"> Intelektualne i osobne usluge</t>
  </si>
  <si>
    <t xml:space="preserve"> Računalne usluge</t>
  </si>
  <si>
    <t xml:space="preserve"> Ostale usluge</t>
  </si>
  <si>
    <t xml:space="preserve"> Ostali nespomenuti rashodi poslovanja</t>
  </si>
  <si>
    <t xml:space="preserve"> Premije osiguranja</t>
  </si>
  <si>
    <t xml:space="preserve"> Reprezentacija</t>
  </si>
  <si>
    <t xml:space="preserve"> FINANCIJSKI RASHODI</t>
  </si>
  <si>
    <t xml:space="preserve"> Bankarske usluge i usluge platnog prometa</t>
  </si>
  <si>
    <t xml:space="preserve"> Zatezne kamate</t>
  </si>
  <si>
    <t xml:space="preserve"> SUBVENCIJE</t>
  </si>
  <si>
    <t xml:space="preserve"> Subvencije poljoprivrednicima, obrtnicima i poduzetnicima</t>
  </si>
  <si>
    <t xml:space="preserve"> NAKNADE GRAĐANIMA I KUĆANSTVIMA</t>
  </si>
  <si>
    <t xml:space="preserve"> Naknade građanima i kućanstvima u novcu</t>
  </si>
  <si>
    <t xml:space="preserve"> Naknade građanima i kućanstvima u naravi</t>
  </si>
  <si>
    <t xml:space="preserve"> Tekuće donacije u novcu</t>
  </si>
  <si>
    <t xml:space="preserve"> Kapitalne donacije neprofitnim organizacijama</t>
  </si>
  <si>
    <t xml:space="preserve"> Nepredviđeni rashodi do visine proračunske pričuve</t>
  </si>
  <si>
    <t xml:space="preserve"> Kapitalne pomoći trg. društvima u javnom sektoru</t>
  </si>
  <si>
    <t xml:space="preserve"> RASHODI ZA NABAVU NEFINANCIJSKE IMOVINE</t>
  </si>
  <si>
    <t xml:space="preserve"> Zemljište</t>
  </si>
  <si>
    <t xml:space="preserve"> Poslovni objekti</t>
  </si>
  <si>
    <t xml:space="preserve"> Uredska oprema i namještaj</t>
  </si>
  <si>
    <t xml:space="preserve"> Knjige u knjižnicama</t>
  </si>
  <si>
    <t xml:space="preserve"> Ulaganje u računalne programe</t>
  </si>
  <si>
    <t xml:space="preserve">        B.  RAČUN ZADUŽIVANJA / FINANCIRANJA:</t>
  </si>
  <si>
    <t xml:space="preserve">        A.  RAČUN PRIHODA I RASHODA </t>
  </si>
  <si>
    <t xml:space="preserve">        UKUPNO PRIHODI I PRIMICI</t>
  </si>
  <si>
    <t xml:space="preserve">        UKUPNO RASHODI I IZDACI</t>
  </si>
  <si>
    <t xml:space="preserve">        RAZLIKA  VIŠAK/MANJAK</t>
  </si>
  <si>
    <t xml:space="preserve"> PRIHODI  POSLOVANJA</t>
  </si>
  <si>
    <t xml:space="preserve"> - porez na kuće za odmor</t>
  </si>
  <si>
    <t xml:space="preserve"> - porez na korištenje javnih površina</t>
  </si>
  <si>
    <t xml:space="preserve"> - porez na promet nekretnina</t>
  </si>
  <si>
    <t xml:space="preserve"> - porez na potrošnju</t>
  </si>
  <si>
    <t xml:space="preserve"> - porez na tvrtku odnosno naziv</t>
  </si>
  <si>
    <t xml:space="preserve"> - prihodi od prodaje državnih biljega</t>
  </si>
  <si>
    <t xml:space="preserve"> - komunalni doprinosi</t>
  </si>
  <si>
    <t xml:space="preserve"> - komunalne naknade</t>
  </si>
  <si>
    <t xml:space="preserve"> OSTALI RASHODI ZA ZAPOSLENE</t>
  </si>
  <si>
    <t xml:space="preserve"> NAKNADE TROŠKOVA ZAPOSLENIMA</t>
  </si>
  <si>
    <t xml:space="preserve"> - ostale naknade utvrđene gradskom odlukom</t>
  </si>
  <si>
    <t xml:space="preserve"> RASHODI ZA MATERIJAL I ENERGIJU</t>
  </si>
  <si>
    <t xml:space="preserve"> RASHODI ZA USLUGE</t>
  </si>
  <si>
    <t xml:space="preserve"> OSTALI NESPOMENUTI RASHODI POSLOVANJA</t>
  </si>
  <si>
    <t xml:space="preserve"> OSTALI FINANCIJSKI RASHODI</t>
  </si>
  <si>
    <t xml:space="preserve"> SUBVENCIJE IZVAN JAVNOG SEKTORA</t>
  </si>
  <si>
    <t xml:space="preserve"> TEKUĆE DONACIJE</t>
  </si>
  <si>
    <t xml:space="preserve"> KAPITALNE DONACIJE</t>
  </si>
  <si>
    <t xml:space="preserve"> IZVANREDNI RASHODI</t>
  </si>
  <si>
    <t xml:space="preserve"> KAPITALNE POMOĆI</t>
  </si>
  <si>
    <t xml:space="preserve"> MATERIJALNA IMOVINA - PRIRODNA BOGATSTVA</t>
  </si>
  <si>
    <t xml:space="preserve"> GRAĐEVINSKI OBJEKTI</t>
  </si>
  <si>
    <t xml:space="preserve"> R A S H O D I     P O S L O V A NJ A</t>
  </si>
  <si>
    <t xml:space="preserve">  MATERIJALNI RASHODI </t>
  </si>
  <si>
    <t>3221</t>
  </si>
  <si>
    <t xml:space="preserve">  Uredski i ostali materijal</t>
  </si>
  <si>
    <t xml:space="preserve">  Intelektualne i osobne usluge</t>
  </si>
  <si>
    <t xml:space="preserve">  Uredski materijal i ostali materijalni rashodi</t>
  </si>
  <si>
    <t xml:space="preserve"> - prih. na temelju refund. rashoda prethod. god.</t>
  </si>
  <si>
    <t xml:space="preserve"> - prihodi od ulazaka u tvrđavu "Španjola"</t>
  </si>
  <si>
    <t xml:space="preserve">  Materijal i djelovi za tekuće i invest. održavanje</t>
  </si>
  <si>
    <t xml:space="preserve">  - Udruga turističkih vodiča Hvar</t>
  </si>
  <si>
    <t xml:space="preserve"> IZDACI ZA FINANC. IMOVINU I OTPLATE ZAJMOVA</t>
  </si>
  <si>
    <t xml:space="preserve"> GLAVA 00102:   DJEČJI VRTIĆ HVAR</t>
  </si>
  <si>
    <t xml:space="preserve">  Prihodi vodnog gospodarsta</t>
  </si>
  <si>
    <t xml:space="preserve"> KOMUNALNI DOPRINOSI I NAKNADE</t>
  </si>
  <si>
    <t xml:space="preserve"> Komunalni doprinosi</t>
  </si>
  <si>
    <t xml:space="preserve"> Komunalne naknade</t>
  </si>
  <si>
    <t xml:space="preserve"> Prihodi od pružanja usluga</t>
  </si>
  <si>
    <t xml:space="preserve"> Ostali nespomenuti prihodi</t>
  </si>
  <si>
    <t xml:space="preserve"> KAZNE, UPRAVNE MJERE I OSTALI PRIHODI</t>
  </si>
  <si>
    <t xml:space="preserve"> K A Z N E  I  UPRAVNE MJERE</t>
  </si>
  <si>
    <t>329</t>
  </si>
  <si>
    <t xml:space="preserve"> - prihodi od nak. za eksploatac.mineralnih sirovina</t>
  </si>
  <si>
    <t>42</t>
  </si>
  <si>
    <t xml:space="preserve">  RASH. ZA NABAVU PROIZV. DUGOTRAJ.IMOVINE</t>
  </si>
  <si>
    <t xml:space="preserve">  Uređaji, strojevi i oprema za ostale namjene</t>
  </si>
  <si>
    <t xml:space="preserve"> Uređaji, strojevi i oprema za ostale namjene</t>
  </si>
  <si>
    <t>OSTALI NESPOMENUTI RASHODI POSLOVANJA</t>
  </si>
  <si>
    <t>4214</t>
  </si>
  <si>
    <t xml:space="preserve">  Ostali građevinski objekti - gradsko groblje</t>
  </si>
  <si>
    <t xml:space="preserve"> Ostali građevinski objekti</t>
  </si>
  <si>
    <t>324</t>
  </si>
  <si>
    <t xml:space="preserve">NAKNADA TROŠ. OSOBAMA IZVAN RAD.ODNOSA </t>
  </si>
  <si>
    <t>3241</t>
  </si>
  <si>
    <t xml:space="preserve"> Naknada troškova osobama izvan radnog odnosa</t>
  </si>
  <si>
    <t xml:space="preserve"> Porezi na korištenje dobara ili izvođ.aktivnosti</t>
  </si>
  <si>
    <t xml:space="preserve"> UPRAVNE I ADMINISTRATIVNE PRISTOJBE</t>
  </si>
  <si>
    <t xml:space="preserve"> Ostale upravne pristojbe i naknade</t>
  </si>
  <si>
    <t xml:space="preserve"> Ostale pristojbe i naknade</t>
  </si>
  <si>
    <t xml:space="preserve"> PLAĆE (BRUTO)</t>
  </si>
  <si>
    <t xml:space="preserve"> DOPRINOSI NA PLAĆE</t>
  </si>
  <si>
    <t xml:space="preserve"> Doprinosi za obvezno zdravstveno osiguranje</t>
  </si>
  <si>
    <t xml:space="preserve"> Doprinosi za obv.osig. u sluč. nezaposlenosti</t>
  </si>
  <si>
    <t>3214</t>
  </si>
  <si>
    <t xml:space="preserve"> Ostale naknade troškova zaposlenima</t>
  </si>
  <si>
    <t xml:space="preserve"> Naknada za rad predstavničkih i izvršnih tijela, povjer. i sl.</t>
  </si>
  <si>
    <t xml:space="preserve"> OSTALI RASHODI</t>
  </si>
  <si>
    <t xml:space="preserve"> RASH. ZA NABAVU NEPROIZVED. DUGOTR. IMOVINE</t>
  </si>
  <si>
    <t xml:space="preserve"> Ceste i ostali prometni objekti</t>
  </si>
  <si>
    <t>4263</t>
  </si>
  <si>
    <t xml:space="preserve"> Umjetnička, literalna i znanstvena djela (prostor.planovi) </t>
  </si>
  <si>
    <t>PLAĆE (Bruto)</t>
  </si>
  <si>
    <t xml:space="preserve">Doprinosi za obvezno zdravstveno osiguranje </t>
  </si>
  <si>
    <t xml:space="preserve">Doprinos za obvezno osig u slučaju nezaposlenosti </t>
  </si>
  <si>
    <t>Ostale naknade troškova zaposlenima</t>
  </si>
  <si>
    <t xml:space="preserve">  PLAĆE (Bruto)</t>
  </si>
  <si>
    <t xml:space="preserve"> OSTALI PRIHODI</t>
  </si>
  <si>
    <t xml:space="preserve"> Ostali prihodi</t>
  </si>
  <si>
    <t xml:space="preserve"> RASHODI ZA NABAVU PROIZV. DUGOTR. IMOVINE</t>
  </si>
  <si>
    <t xml:space="preserve">  Dodatna ulaganja na Arsenalu sa Fontikom</t>
  </si>
  <si>
    <t>4212</t>
  </si>
  <si>
    <t xml:space="preserve"> - prihodi od naplate NUV-a</t>
  </si>
  <si>
    <t>3295</t>
  </si>
  <si>
    <t xml:space="preserve"> Pristojbe i naknade</t>
  </si>
  <si>
    <t xml:space="preserve">   RASHODI ZA USLUGE</t>
  </si>
  <si>
    <t xml:space="preserve">   Usluge promidžbe i informiranja</t>
  </si>
  <si>
    <t xml:space="preserve">  Pristojbe i naknade</t>
  </si>
  <si>
    <t xml:space="preserve">  Otkup zemljišta za ceste i puteve</t>
  </si>
  <si>
    <t>3239</t>
  </si>
  <si>
    <t xml:space="preserve">  Otkup zemljišta (za izgradnju groblja)</t>
  </si>
  <si>
    <t xml:space="preserve">  Ostale usluge (čišćenje obalnog pojasa i sl.) </t>
  </si>
  <si>
    <t xml:space="preserve">  Doprinosi za obvezno zdravstveno osiguranje </t>
  </si>
  <si>
    <t xml:space="preserve">  Doprinos za obvezno osig u slučaju nezaposlenosti </t>
  </si>
  <si>
    <t xml:space="preserve">   Naknada troškova osobama izvan radnog odnosa</t>
  </si>
  <si>
    <t xml:space="preserve">  - vodni doprinos (8% doznaka Hrv.voda)</t>
  </si>
  <si>
    <t>Ostale usluge</t>
  </si>
  <si>
    <t xml:space="preserve">3235 </t>
  </si>
  <si>
    <t>Zakupnine i najamnine</t>
  </si>
  <si>
    <t xml:space="preserve">   Nak. članovima GV, zamjen.gradonač. i rad. tijelima</t>
  </si>
  <si>
    <t>Gradski proračun</t>
  </si>
  <si>
    <t xml:space="preserve"> PRIH. OD PRODAJE NEFINANCIJSKE IMOVINE</t>
  </si>
  <si>
    <t xml:space="preserve"> - prih. od prodaje stanova i ostalih stamb.objekata</t>
  </si>
  <si>
    <t xml:space="preserve"> NAKNADA TROŠK. OSOBAMA IZVAN RAD.ODNOSA</t>
  </si>
  <si>
    <t xml:space="preserve"> 642</t>
  </si>
  <si>
    <t xml:space="preserve"> 6421</t>
  </si>
  <si>
    <t xml:space="preserve"> 64214</t>
  </si>
  <si>
    <t xml:space="preserve"> 6422</t>
  </si>
  <si>
    <t xml:space="preserve"> 64225</t>
  </si>
  <si>
    <t xml:space="preserve"> 6423</t>
  </si>
  <si>
    <t xml:space="preserve"> 64231</t>
  </si>
  <si>
    <t xml:space="preserve"> 64236</t>
  </si>
  <si>
    <t xml:space="preserve"> 64239</t>
  </si>
  <si>
    <t xml:space="preserve"> 65</t>
  </si>
  <si>
    <t xml:space="preserve"> 651</t>
  </si>
  <si>
    <t xml:space="preserve"> 6512</t>
  </si>
  <si>
    <t xml:space="preserve"> 65129</t>
  </si>
  <si>
    <t xml:space="preserve"> 6513</t>
  </si>
  <si>
    <t xml:space="preserve"> 65139</t>
  </si>
  <si>
    <t xml:space="preserve"> 6514</t>
  </si>
  <si>
    <t xml:space="preserve"> 65141</t>
  </si>
  <si>
    <t xml:space="preserve"> 652</t>
  </si>
  <si>
    <t xml:space="preserve"> 6522</t>
  </si>
  <si>
    <t xml:space="preserve"> 65221</t>
  </si>
  <si>
    <t xml:space="preserve"> 6526</t>
  </si>
  <si>
    <t xml:space="preserve"> 65264</t>
  </si>
  <si>
    <t xml:space="preserve"> 65266</t>
  </si>
  <si>
    <t xml:space="preserve"> 653</t>
  </si>
  <si>
    <t xml:space="preserve"> 6531</t>
  </si>
  <si>
    <t xml:space="preserve"> 65311</t>
  </si>
  <si>
    <t xml:space="preserve"> 6532</t>
  </si>
  <si>
    <t xml:space="preserve"> 65321</t>
  </si>
  <si>
    <t xml:space="preserve"> 66</t>
  </si>
  <si>
    <t xml:space="preserve"> 661</t>
  </si>
  <si>
    <t xml:space="preserve"> 6615</t>
  </si>
  <si>
    <t xml:space="preserve"> 66151</t>
  </si>
  <si>
    <t xml:space="preserve"> 663</t>
  </si>
  <si>
    <t xml:space="preserve"> 6631</t>
  </si>
  <si>
    <t xml:space="preserve"> 66312</t>
  </si>
  <si>
    <t xml:space="preserve"> 68</t>
  </si>
  <si>
    <t xml:space="preserve"> 681</t>
  </si>
  <si>
    <t xml:space="preserve"> 6819</t>
  </si>
  <si>
    <t xml:space="preserve"> 68191</t>
  </si>
  <si>
    <t xml:space="preserve"> 683</t>
  </si>
  <si>
    <t xml:space="preserve"> 6831</t>
  </si>
  <si>
    <t xml:space="preserve"> 7</t>
  </si>
  <si>
    <t xml:space="preserve"> 71</t>
  </si>
  <si>
    <t xml:space="preserve"> 711</t>
  </si>
  <si>
    <t xml:space="preserve"> 7111</t>
  </si>
  <si>
    <t xml:space="preserve"> 71112</t>
  </si>
  <si>
    <t xml:space="preserve"> 72</t>
  </si>
  <si>
    <t xml:space="preserve"> 721</t>
  </si>
  <si>
    <t xml:space="preserve"> 7211</t>
  </si>
  <si>
    <t xml:space="preserve"> 72119</t>
  </si>
  <si>
    <t xml:space="preserve"> 6</t>
  </si>
  <si>
    <t xml:space="preserve"> 61</t>
  </si>
  <si>
    <t xml:space="preserve"> 611</t>
  </si>
  <si>
    <t xml:space="preserve"> 6111</t>
  </si>
  <si>
    <t xml:space="preserve"> 6112</t>
  </si>
  <si>
    <t xml:space="preserve"> 6113</t>
  </si>
  <si>
    <t xml:space="preserve"> 6114</t>
  </si>
  <si>
    <t xml:space="preserve"> 613</t>
  </si>
  <si>
    <t xml:space="preserve"> 6131</t>
  </si>
  <si>
    <t xml:space="preserve"> 61314</t>
  </si>
  <si>
    <t xml:space="preserve"> 61315</t>
  </si>
  <si>
    <t xml:space="preserve"> 6134</t>
  </si>
  <si>
    <t xml:space="preserve"> 61341</t>
  </si>
  <si>
    <t xml:space="preserve"> 614</t>
  </si>
  <si>
    <t xml:space="preserve"> 6142</t>
  </si>
  <si>
    <t xml:space="preserve"> 61424</t>
  </si>
  <si>
    <t xml:space="preserve"> 6145</t>
  </si>
  <si>
    <t xml:space="preserve"> 61453</t>
  </si>
  <si>
    <t xml:space="preserve"> 63</t>
  </si>
  <si>
    <t xml:space="preserve"> 633</t>
  </si>
  <si>
    <t xml:space="preserve"> 6331</t>
  </si>
  <si>
    <t xml:space="preserve"> 63311</t>
  </si>
  <si>
    <t xml:space="preserve"> 63312</t>
  </si>
  <si>
    <t xml:space="preserve"> 6332</t>
  </si>
  <si>
    <t xml:space="preserve"> 63321</t>
  </si>
  <si>
    <t xml:space="preserve"> 63322</t>
  </si>
  <si>
    <t xml:space="preserve"> 634</t>
  </si>
  <si>
    <t xml:space="preserve"> 6342</t>
  </si>
  <si>
    <t xml:space="preserve"> 63425</t>
  </si>
  <si>
    <t xml:space="preserve"> 64</t>
  </si>
  <si>
    <t xml:space="preserve"> 641</t>
  </si>
  <si>
    <t xml:space="preserve"> 6413</t>
  </si>
  <si>
    <t xml:space="preserve"> 64131</t>
  </si>
  <si>
    <t xml:space="preserve"> 64132</t>
  </si>
  <si>
    <t xml:space="preserve"> 3</t>
  </si>
  <si>
    <t xml:space="preserve"> 31</t>
  </si>
  <si>
    <t xml:space="preserve"> 311</t>
  </si>
  <si>
    <t xml:space="preserve"> 3111</t>
  </si>
  <si>
    <t xml:space="preserve"> 312</t>
  </si>
  <si>
    <t xml:space="preserve"> 3121</t>
  </si>
  <si>
    <t xml:space="preserve"> 313</t>
  </si>
  <si>
    <t xml:space="preserve"> 3132</t>
  </si>
  <si>
    <t xml:space="preserve"> 3133</t>
  </si>
  <si>
    <t xml:space="preserve"> 32</t>
  </si>
  <si>
    <t xml:space="preserve"> 321</t>
  </si>
  <si>
    <t xml:space="preserve"> 3211</t>
  </si>
  <si>
    <t xml:space="preserve"> 3212</t>
  </si>
  <si>
    <t xml:space="preserve"> 3213</t>
  </si>
  <si>
    <t xml:space="preserve"> 3214</t>
  </si>
  <si>
    <t xml:space="preserve"> 322</t>
  </si>
  <si>
    <t xml:space="preserve"> 3221</t>
  </si>
  <si>
    <t xml:space="preserve"> 3223</t>
  </si>
  <si>
    <t xml:space="preserve"> 3224</t>
  </si>
  <si>
    <t xml:space="preserve"> 3225</t>
  </si>
  <si>
    <t xml:space="preserve"> 323</t>
  </si>
  <si>
    <t xml:space="preserve"> 3231</t>
  </si>
  <si>
    <t xml:space="preserve"> 3232</t>
  </si>
  <si>
    <t xml:space="preserve"> 3233</t>
  </si>
  <si>
    <t xml:space="preserve"> 3234</t>
  </si>
  <si>
    <t xml:space="preserve"> 3235</t>
  </si>
  <si>
    <t xml:space="preserve"> 3236</t>
  </si>
  <si>
    <t xml:space="preserve"> 3237</t>
  </si>
  <si>
    <t xml:space="preserve"> 3238</t>
  </si>
  <si>
    <t xml:space="preserve"> 3239</t>
  </si>
  <si>
    <t xml:space="preserve"> 324</t>
  </si>
  <si>
    <t xml:space="preserve"> 3241</t>
  </si>
  <si>
    <t xml:space="preserve"> 329</t>
  </si>
  <si>
    <t xml:space="preserve"> 3291</t>
  </si>
  <si>
    <t xml:space="preserve"> 3292</t>
  </si>
  <si>
    <t xml:space="preserve"> 3293</t>
  </si>
  <si>
    <t xml:space="preserve"> 3294</t>
  </si>
  <si>
    <t xml:space="preserve"> 3295</t>
  </si>
  <si>
    <t xml:space="preserve"> 3299</t>
  </si>
  <si>
    <t xml:space="preserve"> 34</t>
  </si>
  <si>
    <t xml:space="preserve"> 343</t>
  </si>
  <si>
    <t xml:space="preserve"> 3431</t>
  </si>
  <si>
    <t xml:space="preserve"> 3433</t>
  </si>
  <si>
    <t xml:space="preserve"> 35</t>
  </si>
  <si>
    <t xml:space="preserve"> 352</t>
  </si>
  <si>
    <t xml:space="preserve"> 3523</t>
  </si>
  <si>
    <t xml:space="preserve"> 37</t>
  </si>
  <si>
    <t xml:space="preserve"> 372</t>
  </si>
  <si>
    <t xml:space="preserve"> 3721</t>
  </si>
  <si>
    <t xml:space="preserve"> 3722</t>
  </si>
  <si>
    <t xml:space="preserve"> 38</t>
  </si>
  <si>
    <t xml:space="preserve"> 381</t>
  </si>
  <si>
    <t xml:space="preserve"> 3811</t>
  </si>
  <si>
    <t xml:space="preserve"> 382</t>
  </si>
  <si>
    <t xml:space="preserve"> 3821</t>
  </si>
  <si>
    <t xml:space="preserve"> 385</t>
  </si>
  <si>
    <t xml:space="preserve"> 3851</t>
  </si>
  <si>
    <t xml:space="preserve"> 386</t>
  </si>
  <si>
    <t xml:space="preserve"> 3861</t>
  </si>
  <si>
    <t xml:space="preserve"> 4</t>
  </si>
  <si>
    <t xml:space="preserve"> 41</t>
  </si>
  <si>
    <t xml:space="preserve"> 411</t>
  </si>
  <si>
    <t xml:space="preserve"> 4111</t>
  </si>
  <si>
    <t xml:space="preserve"> 42</t>
  </si>
  <si>
    <t xml:space="preserve"> 421</t>
  </si>
  <si>
    <t xml:space="preserve"> 4212</t>
  </si>
  <si>
    <t xml:space="preserve"> 4213</t>
  </si>
  <si>
    <t xml:space="preserve"> 4214</t>
  </si>
  <si>
    <t xml:space="preserve"> 422</t>
  </si>
  <si>
    <t xml:space="preserve"> 4221</t>
  </si>
  <si>
    <t xml:space="preserve"> 4222</t>
  </si>
  <si>
    <t xml:space="preserve"> 4223</t>
  </si>
  <si>
    <t xml:space="preserve"> 4227</t>
  </si>
  <si>
    <t xml:space="preserve"> 424</t>
  </si>
  <si>
    <t xml:space="preserve"> 4241</t>
  </si>
  <si>
    <t xml:space="preserve"> 426</t>
  </si>
  <si>
    <t xml:space="preserve"> 4262</t>
  </si>
  <si>
    <t xml:space="preserve"> 4263</t>
  </si>
  <si>
    <t xml:space="preserve"> 45</t>
  </si>
  <si>
    <t xml:space="preserve"> 451</t>
  </si>
  <si>
    <t xml:space="preserve"> 4511</t>
  </si>
  <si>
    <t xml:space="preserve"> 5</t>
  </si>
  <si>
    <t xml:space="preserve"> NAKNADE GRAĐANIMA I KUĆANSTVIMA IZ PRORAČ.</t>
  </si>
  <si>
    <t xml:space="preserve"> DODATNA ULAGANJA NA GRAĐEVIN. OBJEKTIMA</t>
  </si>
  <si>
    <t xml:space="preserve"> RASHODI ZA DODATNA ULAGANJA NA NEFIN. IMOVINI</t>
  </si>
  <si>
    <t xml:space="preserve"> Porez i prirez na doh. od kapitala</t>
  </si>
  <si>
    <t xml:space="preserve"> 64229</t>
  </si>
  <si>
    <t xml:space="preserve"> - prihodi od davanja na korištenje imovine</t>
  </si>
  <si>
    <t xml:space="preserve"> 6429</t>
  </si>
  <si>
    <t xml:space="preserve"> Ostali prihodi od nefinanc.imovine</t>
  </si>
  <si>
    <t xml:space="preserve"> 64299</t>
  </si>
  <si>
    <t xml:space="preserve"> - naknade za legalizaciju objekata</t>
  </si>
  <si>
    <t xml:space="preserve"> 6341</t>
  </si>
  <si>
    <t xml:space="preserve"> 63415</t>
  </si>
  <si>
    <t xml:space="preserve"> 6415</t>
  </si>
  <si>
    <t xml:space="preserve"> 64151</t>
  </si>
  <si>
    <t xml:space="preserve">  - tekuća pomoć Fonda za zaštitu okoliša </t>
  </si>
  <si>
    <t xml:space="preserve"> PRIH.OD PRODAJE ROBA TE PRUŽENIH USLUGA</t>
  </si>
  <si>
    <t xml:space="preserve"> PRIH.OD PRODAJE PROIZVED.DUGOTRAJNE IMOVINE</t>
  </si>
  <si>
    <t>Indeks
4/3</t>
  </si>
  <si>
    <t>Brojčana
oznaka</t>
  </si>
  <si>
    <t>N A Z I V</t>
  </si>
  <si>
    <t xml:space="preserve">   GRADSKO VIJEĆE, GRADONAČELNIK I GRADSKA UPRAVA</t>
  </si>
  <si>
    <t xml:space="preserve">   DJEČJI VRTIĆ HVAR</t>
  </si>
  <si>
    <t xml:space="preserve">   GRADSKA KNJIŽNICA  I ČITAONICA HVAR                     </t>
  </si>
  <si>
    <t xml:space="preserve">  Razdjel: 001</t>
  </si>
  <si>
    <t xml:space="preserve">  Glava: 00101</t>
  </si>
  <si>
    <t xml:space="preserve">  Glava: 00102</t>
  </si>
  <si>
    <t xml:space="preserve">  Glava: 00103</t>
  </si>
  <si>
    <t xml:space="preserve">  PREDSTAVNIČKA I IZVRŠNA TIJELA, GRADSKA UPRAVA
  TE PRORAČUNSKI KORISNICI</t>
  </si>
  <si>
    <t>BROJČANA OZNAKA, NAZIV I RAČUN</t>
  </si>
  <si>
    <t xml:space="preserve">   GLAVA 00101:    GRADSKO VIJEĆE, GRADONAČELNIK
                                   I GRADSKA UPRAVA</t>
  </si>
  <si>
    <t xml:space="preserve">   U K U P N O </t>
  </si>
  <si>
    <t xml:space="preserve"> PRIH.OD PROD.ROBA, PRUŽENIH USL. I DONACIJE</t>
  </si>
  <si>
    <t xml:space="preserve"> 8</t>
  </si>
  <si>
    <t xml:space="preserve"> - naknade za ostale koncesije</t>
  </si>
  <si>
    <t xml:space="preserve"> 64219</t>
  </si>
  <si>
    <t xml:space="preserve"> 3227</t>
  </si>
  <si>
    <t xml:space="preserve"> Službena, radna i zaštitna odjeća i obuća</t>
  </si>
  <si>
    <t xml:space="preserve"> IZDACI ZA DANE ZAJMOVE</t>
  </si>
  <si>
    <t xml:space="preserve">  OSTALI RASHODI</t>
  </si>
  <si>
    <t xml:space="preserve">  Održavanje-uređenje grad.groblja i mrtvačnice</t>
  </si>
  <si>
    <t>3234</t>
  </si>
  <si>
    <t xml:space="preserve">  Komunalne usluge (odvoz smeća sa Paklenih otoka)</t>
  </si>
  <si>
    <t xml:space="preserve">  - Udruga Veterana Momp "ZVIR" o.Hvar</t>
  </si>
  <si>
    <t xml:space="preserve">  - Udruga "Forske užance" Hvar</t>
  </si>
  <si>
    <t xml:space="preserve">  - Darovi djeci predškolskog uzrasta</t>
  </si>
  <si>
    <t>45</t>
  </si>
  <si>
    <t>451</t>
  </si>
  <si>
    <t xml:space="preserve">  DODATNA ULAGANJA NA GRAĐ.OBJEKTIMA</t>
  </si>
  <si>
    <t>4511</t>
  </si>
  <si>
    <t xml:space="preserve"> Program 2001:   Predškolski odgoj</t>
  </si>
  <si>
    <t xml:space="preserve"> Program 3001:   Knjižnična djelatnost</t>
  </si>
  <si>
    <t xml:space="preserve"> T.projekt T3001 02: Kupnja knjižne građe i opreme</t>
  </si>
  <si>
    <t xml:space="preserve">  Računalne usluge</t>
  </si>
  <si>
    <t>3227</t>
  </si>
  <si>
    <t>Službena, radna i zaštitna odjeća i obuća</t>
  </si>
  <si>
    <t xml:space="preserve">        POKRIĆE IZ VIŠKOVA PRETHODNIH GODINA</t>
  </si>
  <si>
    <t xml:space="preserve"> -prihodi od pozitivnih tečajnih razlika</t>
  </si>
  <si>
    <t xml:space="preserve"> 64224</t>
  </si>
  <si>
    <t xml:space="preserve"> - prihodi od zakupa stambenih objekata</t>
  </si>
  <si>
    <t xml:space="preserve"> 65149</t>
  </si>
  <si>
    <t xml:space="preserve"> - naknada za ukrcaj i iskrcaj putnika na obali</t>
  </si>
  <si>
    <t xml:space="preserve"> - prihodi od teleskopa na Fortici</t>
  </si>
  <si>
    <t xml:space="preserve"> 36</t>
  </si>
  <si>
    <t xml:space="preserve"> 366</t>
  </si>
  <si>
    <t xml:space="preserve"> POMOĆI DANE U INOZEM. I UNUTAR OPĆEG PRORAČ.</t>
  </si>
  <si>
    <t xml:space="preserve"> POMOĆI PRORAČ.KORISNICIMA DRUGIH PRORAČUNA</t>
  </si>
  <si>
    <t xml:space="preserve"> 3631</t>
  </si>
  <si>
    <t xml:space="preserve"> Tekuće pomoći unutar općeg proračuna</t>
  </si>
  <si>
    <t xml:space="preserve"> 3661</t>
  </si>
  <si>
    <t xml:space="preserve"> Tekuće pomoći korisnicima drugih proračuna</t>
  </si>
  <si>
    <t xml:space="preserve"> 3662</t>
  </si>
  <si>
    <t xml:space="preserve"> Kapitalne pomoći korisnicima drugih proračuna</t>
  </si>
  <si>
    <t xml:space="preserve"> 65148</t>
  </si>
  <si>
    <t xml:space="preserve"> - naknada za promjenu namjene poljoprivred.zemljišta</t>
  </si>
  <si>
    <t xml:space="preserve"> - prihodi od Hvarskih ljetnih priredbi</t>
  </si>
  <si>
    <t xml:space="preserve"> 4225</t>
  </si>
  <si>
    <t xml:space="preserve"> Instrumenti, uređaji i strojevi</t>
  </si>
  <si>
    <t xml:space="preserve"> Program 1001:  Javna uprava i administracija</t>
  </si>
  <si>
    <t xml:space="preserve"> Aktivnost A1001 01:  Rad gradonačelnika i gradske uprave</t>
  </si>
  <si>
    <t>3235</t>
  </si>
  <si>
    <t xml:space="preserve">  Zakupnine i najamnine</t>
  </si>
  <si>
    <t xml:space="preserve">  Članarine i norme</t>
  </si>
  <si>
    <t>4225</t>
  </si>
  <si>
    <t xml:space="preserve">  Instrumenti, uređaji i strojevi </t>
  </si>
  <si>
    <t xml:space="preserve"> GLAVA 00103:    GRADSKA KNJIŽNICA I ČITAONICA HVAR                     </t>
  </si>
  <si>
    <t xml:space="preserve">  Ured.materijal i ostali mat.rashodi</t>
  </si>
  <si>
    <t xml:space="preserve">  Održavanje nerazvrstanih cesta i dr.prometnica</t>
  </si>
  <si>
    <t xml:space="preserve">  Izgradnja lokalnih cesta i ostalih promet.objekata </t>
  </si>
  <si>
    <t xml:space="preserve">  Kapit.pomoć Komunalnom za sanac.odlagališta i gradnju rec.dvor.</t>
  </si>
  <si>
    <t xml:space="preserve">  RASHODI ZA NABAVU PROIZVOD.DUGOTRAJ.IMOVINE</t>
  </si>
  <si>
    <t xml:space="preserve">  Prostorni planovi i dr.plan.dokumenti</t>
  </si>
  <si>
    <t xml:space="preserve">  Održavanje-uređenje građevina</t>
  </si>
  <si>
    <t xml:space="preserve">  RASHODI ZA PROIZVOD.DUGOTRAJ. IMOVINU</t>
  </si>
  <si>
    <t xml:space="preserve">  Nabava rasvjet.tijela i izgradnja javne rasvjete </t>
  </si>
  <si>
    <t xml:space="preserve">  Uredski i ostali materijal </t>
  </si>
  <si>
    <t xml:space="preserve">  Ostale usluge na JP (čišćenje, pranje, uređenje i sl.) </t>
  </si>
  <si>
    <t xml:space="preserve">  Kapit.pomoć Komunalnom za kupnju opreme za čišćenje JP</t>
  </si>
  <si>
    <t>36</t>
  </si>
  <si>
    <t>366</t>
  </si>
  <si>
    <t xml:space="preserve">  POMOĆI DANE U INOZ. I UNUTAR OPĆEG PRORAČUNA</t>
  </si>
  <si>
    <t xml:space="preserve">  POMOĆI PRORAČUNSKIM KORISNICIMA DRUGIH PRORAČUNA</t>
  </si>
  <si>
    <t>3661</t>
  </si>
  <si>
    <t xml:space="preserve">  Tekuće pomoći Hitnoj medicinskoj pomoći SDŽ</t>
  </si>
  <si>
    <t xml:space="preserve">  Tekuće pomoći zdravstvenim ustanovama SDŽ</t>
  </si>
  <si>
    <t>3662</t>
  </si>
  <si>
    <t xml:space="preserve">  Kapitalne pomoći zdravstvenim ustanovama SDŽ</t>
  </si>
  <si>
    <t xml:space="preserve">  Tekuće pomoći za programske aktivnosti Muzeja HB</t>
  </si>
  <si>
    <t xml:space="preserve">  Tekuće pomoći za održavanje ljetnikovca H.Lucića</t>
  </si>
  <si>
    <t xml:space="preserve">  Kapitalna pomoć za sanaciju crkve Sv.Marak</t>
  </si>
  <si>
    <t xml:space="preserve">  Kapitalna pomoć za otkup spomeničke i arhiv.građe</t>
  </si>
  <si>
    <t xml:space="preserve">  Komunalne usluge</t>
  </si>
  <si>
    <t xml:space="preserve">  Ostale usluge - uređenje prostora</t>
  </si>
  <si>
    <t xml:space="preserve">  Dodatna ulaganja na Palači Vukašinović</t>
  </si>
  <si>
    <t xml:space="preserve">  - Udruga Hrvatski Master šef</t>
  </si>
  <si>
    <t xml:space="preserve">  Kapitalna pomoć Osnovnoj školi Hvar </t>
  </si>
  <si>
    <t>363</t>
  </si>
  <si>
    <t xml:space="preserve">  POMOĆI UNUTAR OPĆEG PRORAČUNA</t>
  </si>
  <si>
    <t>3631</t>
  </si>
  <si>
    <t xml:space="preserve">  Pomoć Gradu Vukovaru za stipendije</t>
  </si>
  <si>
    <t xml:space="preserve">  Tekuće pomoć Srednjoj školi Hvar</t>
  </si>
  <si>
    <t xml:space="preserve">  Kapitalna pomoć Srednjoj školi Hvar </t>
  </si>
  <si>
    <t xml:space="preserve"> 363</t>
  </si>
  <si>
    <t xml:space="preserve"> POMOĆI UNUTAR OPĆEG PRORAČUNA</t>
  </si>
  <si>
    <t xml:space="preserve"> Aktivnost A2001 01: Stručna, administrat. i izvršna tijela vrtića</t>
  </si>
  <si>
    <t xml:space="preserve"> Aktivnost A3001 01: Stručna i izvršna tijela knjižnice</t>
  </si>
  <si>
    <t xml:space="preserve"> 63414</t>
  </si>
  <si>
    <t xml:space="preserve">  - tekuća pomoć Hrvatskih voda</t>
  </si>
  <si>
    <t xml:space="preserve"> 636</t>
  </si>
  <si>
    <t xml:space="preserve"> POMOĆI PRORAČ.KORISNIC.IZ NENADLEŽ.PRORAČ.</t>
  </si>
  <si>
    <t xml:space="preserve"> 6361</t>
  </si>
  <si>
    <t xml:space="preserve"> Tekuće pomoći proračun.korisnicima iz nenadlež.proračuna</t>
  </si>
  <si>
    <t xml:space="preserve">  - tekuća pomoć Minist.obrazovanja za dj.vrtić </t>
  </si>
  <si>
    <t xml:space="preserve"> 6362</t>
  </si>
  <si>
    <t xml:space="preserve"> 63621</t>
  </si>
  <si>
    <t xml:space="preserve">  - kapitalna pomoći Minist.kulture za Grad.knjižnicu </t>
  </si>
  <si>
    <t xml:space="preserve"> - kamate na depozite po viđenju - Dj.vrtić</t>
  </si>
  <si>
    <t xml:space="preserve"> - kamate na depozite po viđenju - Grad</t>
  </si>
  <si>
    <t xml:space="preserve"> - kamate na depozite po viđenju - Knjižnica</t>
  </si>
  <si>
    <t xml:space="preserve"> - prihodi od zakupa poslovnih objekata</t>
  </si>
  <si>
    <t xml:space="preserve"> - prihodi od zakupa posl.prostora - Dj.vrtić</t>
  </si>
  <si>
    <t xml:space="preserve"> 6524</t>
  </si>
  <si>
    <t xml:space="preserve">  Doprinos za šume</t>
  </si>
  <si>
    <t xml:space="preserve"> 65241</t>
  </si>
  <si>
    <t xml:space="preserve">  - šumski doprinos</t>
  </si>
  <si>
    <t xml:space="preserve"> - sufinanciranje usluge - Dječji vrtić</t>
  </si>
  <si>
    <t xml:space="preserve"> - sufinanciranje usluge - Gradska knjižnica</t>
  </si>
  <si>
    <t xml:space="preserve"> - tekuće donacije za Dj.vrtić</t>
  </si>
  <si>
    <t xml:space="preserve"> - tekuće donacije za Grad.knjižnicu</t>
  </si>
  <si>
    <t xml:space="preserve"> - kazne za prekršaje u prometu</t>
  </si>
  <si>
    <t xml:space="preserve"> 3222</t>
  </si>
  <si>
    <t xml:space="preserve"> Materijal i sirovine</t>
  </si>
  <si>
    <t xml:space="preserve"> 3296</t>
  </si>
  <si>
    <t xml:space="preserve"> Troškovi sudskih postupaka</t>
  </si>
  <si>
    <t xml:space="preserve"> K.projekt K1001 03: Nabavka opreme za poslovanje</t>
  </si>
  <si>
    <t xml:space="preserve"> Program 1003:  Opće usluge i pričuva</t>
  </si>
  <si>
    <t xml:space="preserve"> Aktivnost A1003 01: Opće usluge i pričuva</t>
  </si>
  <si>
    <t>3238</t>
  </si>
  <si>
    <t>3296</t>
  </si>
  <si>
    <t xml:space="preserve">  Troškovi sudskih postupaka</t>
  </si>
  <si>
    <t xml:space="preserve"> Aktivnost A1004 02: Ostali financijski poslovi</t>
  </si>
  <si>
    <t xml:space="preserve"> Program 1005:  Organiziranje i provođenje zaštite i spašavanja</t>
  </si>
  <si>
    <t xml:space="preserve"> Aktivnost A1005 01: Protupožarna zaštita</t>
  </si>
  <si>
    <t xml:space="preserve"> Aktivnost A1005 02: Donacije DVD-u Hvar</t>
  </si>
  <si>
    <t xml:space="preserve"> Aktivnost A1005 03:  Sustav zaštite i spašavanja</t>
  </si>
  <si>
    <t xml:space="preserve"> Aktivnost A1005 04:  Donacije Gorskoj službi spašavanja</t>
  </si>
  <si>
    <t xml:space="preserve">  Ostale usluge (energetske usluge)</t>
  </si>
  <si>
    <t xml:space="preserve"> Aktivnost A1006 01: Održ. uredskih i poslov. objekata</t>
  </si>
  <si>
    <t xml:space="preserve">  Dodatna ulaganja na poslov.objektu Zakaštil</t>
  </si>
  <si>
    <t xml:space="preserve"> Aktivnost A1008 01: Održavanje cesta i prometnica</t>
  </si>
  <si>
    <t xml:space="preserve"> Program 1009: Zaštita okoliša i gospodarenje otpadom</t>
  </si>
  <si>
    <t xml:space="preserve"> Aktivnost A1009 01: Sanacija divljih odlagališta</t>
  </si>
  <si>
    <t xml:space="preserve">  Otkup zemljišta za sanaciju odlagališta</t>
  </si>
  <si>
    <t xml:space="preserve"> Aktivnost A1009 04:  Održavanje oborinske kanalizacija</t>
  </si>
  <si>
    <t xml:space="preserve">  Kapitalna pomoć Odvodnj-Hvar za izgradnju kanalizacije</t>
  </si>
  <si>
    <t>3233</t>
  </si>
  <si>
    <t xml:space="preserve">  Poslovni objekat - sportski centar</t>
  </si>
  <si>
    <t xml:space="preserve">  Uredski materijal i ostali mat.rashodi</t>
  </si>
  <si>
    <t xml:space="preserve">  - Hvar Metropola mora</t>
  </si>
  <si>
    <t xml:space="preserve">  - Hvarska gradska glazba Hvar</t>
  </si>
  <si>
    <t xml:space="preserve">  - Ogranak matice Hrvatske Hvar</t>
  </si>
  <si>
    <t xml:space="preserve">  - Zajednica talijana G.F.Biondi Hvar</t>
  </si>
  <si>
    <t xml:space="preserve">  - Hvarsko pučko kazalište Hvar</t>
  </si>
  <si>
    <t xml:space="preserve">  - Plesni studio mladih Hvar</t>
  </si>
  <si>
    <t xml:space="preserve">  - Ostale udruge (neraspoređeno)</t>
  </si>
  <si>
    <t xml:space="preserve">  - Udruga "Perle" St.Grad</t>
  </si>
  <si>
    <t xml:space="preserve">  - Udruga dijaliz. i transplant. SDŽ Split</t>
  </si>
  <si>
    <t xml:space="preserve">  Tekuće donacija Crvenom križu GD Hvar</t>
  </si>
  <si>
    <t xml:space="preserve">  Službena putovanja</t>
  </si>
  <si>
    <t xml:space="preserve">  Stručno usavršavanje zaposlenika</t>
  </si>
  <si>
    <t xml:space="preserve">  Materijal i sirovine</t>
  </si>
  <si>
    <t xml:space="preserve">  Radna odjeća i obuća</t>
  </si>
  <si>
    <t>3231</t>
  </si>
  <si>
    <t xml:space="preserve">  Usluge telefona i pošte </t>
  </si>
  <si>
    <t xml:space="preserve">  Usluge tekućeg i investic.održavanja </t>
  </si>
  <si>
    <t xml:space="preserve">  Zdravstvene usluge </t>
  </si>
  <si>
    <t xml:space="preserve">  Računalne usluge </t>
  </si>
  <si>
    <t xml:space="preserve">  NAKNADE TROŠKOVA OSOBAMA IZVAN RAD.ODNOSA </t>
  </si>
  <si>
    <t xml:space="preserve">  Naknada troškova osobama izvan rad.odnosa </t>
  </si>
  <si>
    <t>3292</t>
  </si>
  <si>
    <t>3293</t>
  </si>
  <si>
    <t xml:space="preserve">  Reprezentacija </t>
  </si>
  <si>
    <t xml:space="preserve">  Troškovi održavanja Dječje olimpijade i programa Predškole</t>
  </si>
  <si>
    <t>34</t>
  </si>
  <si>
    <t xml:space="preserve">  Bankarske usluge i usl.plat.prometa</t>
  </si>
  <si>
    <t xml:space="preserve">  Uredska oprema i namještaj</t>
  </si>
  <si>
    <t xml:space="preserve">  NEMATERIJALNA PROIZVEDENA IMOVINA </t>
  </si>
  <si>
    <t xml:space="preserve">  Ulaganja u računalne programe </t>
  </si>
  <si>
    <t xml:space="preserve">  Članarine </t>
  </si>
  <si>
    <t xml:space="preserve">  Ostali nespomenuti rashodi poslovanja </t>
  </si>
  <si>
    <t xml:space="preserve">  Tekuće donacija u novcu</t>
  </si>
  <si>
    <t xml:space="preserve">  Umjetnička, literarna i znanstv.djela (el.zapisi) </t>
  </si>
  <si>
    <t>Indeks
5/2</t>
  </si>
  <si>
    <t>Indeks
5/4</t>
  </si>
  <si>
    <t xml:space="preserve"> POMOĆI OD IZVANPRORAČUNSKIH KORISNIKA</t>
  </si>
  <si>
    <t xml:space="preserve"> Tekuće pomoći od izvanproračunskih korisnika</t>
  </si>
  <si>
    <t xml:space="preserve"> Kapitalna pomoći od izvanproračunskih korisnika</t>
  </si>
  <si>
    <t xml:space="preserve">  - kapitalna pomoć Fonda za zaštitu okoliša </t>
  </si>
  <si>
    <t xml:space="preserve"> Kapital.pomoći proračun.korisnicima iz nenadlež.proračuna</t>
  </si>
  <si>
    <t xml:space="preserve"> 638</t>
  </si>
  <si>
    <t xml:space="preserve"> 6382</t>
  </si>
  <si>
    <t xml:space="preserve"> POMOĆI IZ DRŽ.PRORAČ.TEMELJEM PRIJENOSA EU</t>
  </si>
  <si>
    <t xml:space="preserve"> Kapit.pomoći iz držav.prorač.temeljem prijenosa iz EU</t>
  </si>
  <si>
    <t xml:space="preserve"> PRIH.OD PRODAJE NEPROIZVED. DUGUTRAJ. IMOV.</t>
  </si>
  <si>
    <t xml:space="preserve"> Članarine i norme</t>
  </si>
  <si>
    <t xml:space="preserve"> PRIMICI OD FINANC.IMOVINE I ZADUŽIVANJA</t>
  </si>
  <si>
    <t xml:space="preserve">  Oprema za ostale namjene</t>
  </si>
  <si>
    <t xml:space="preserve">  Dodatna ulaganja na Fortici, Venerandi i Galešniku</t>
  </si>
  <si>
    <t xml:space="preserve">  Poslovni objekt - srednja škola i šk.igralište</t>
  </si>
  <si>
    <t xml:space="preserve">  Dodatna ulaganja - dogradnja zgrade Dj.vrtića Hvar</t>
  </si>
  <si>
    <t xml:space="preserve"> POMOĆI IZ DRUGIH PRORAČUNA</t>
  </si>
  <si>
    <t xml:space="preserve"> 3432</t>
  </si>
  <si>
    <t xml:space="preserve"> Negativne tečajne razlike</t>
  </si>
  <si>
    <t xml:space="preserve"> 43</t>
  </si>
  <si>
    <t xml:space="preserve"> PLEMEN.METALI I OSTALE POHRANJENE VRIJED.</t>
  </si>
  <si>
    <t xml:space="preserve"> 4312</t>
  </si>
  <si>
    <t xml:space="preserve"> Pohranjene knjige, umjet.dijela i slične vrijednosti</t>
  </si>
  <si>
    <t xml:space="preserve"> 61454</t>
  </si>
  <si>
    <t>3432</t>
  </si>
  <si>
    <t xml:space="preserve">  Negativne tečajne razlike</t>
  </si>
  <si>
    <t xml:space="preserve"> K.Projekt K1006 03: Adaptacija i uređenje vile Gazzari</t>
  </si>
  <si>
    <t xml:space="preserve">  Dodatna ulaganja na poslov.objektu vila Gazzari</t>
  </si>
  <si>
    <t xml:space="preserve">  Dodatna ulaganja na poslov.objektu Dolac (Konzum)</t>
  </si>
  <si>
    <t xml:space="preserve"> Aktivnost A1007 02: Donacije Udruženju obrtnika o.Hvara</t>
  </si>
  <si>
    <t>38</t>
  </si>
  <si>
    <t>381</t>
  </si>
  <si>
    <t>3811</t>
  </si>
  <si>
    <t xml:space="preserve">  Tekuće donacije Udruženju obrtnika o.Hvara</t>
  </si>
  <si>
    <t xml:space="preserve">  Intelektualne i osobne usluge - projekti uređenja</t>
  </si>
  <si>
    <t xml:space="preserve">  - Savez "Platforma" Hvar</t>
  </si>
  <si>
    <t xml:space="preserve">  - Klapa Galešnik Hvar</t>
  </si>
  <si>
    <t xml:space="preserve">  - Klapa Bodulke Hvar</t>
  </si>
  <si>
    <t xml:space="preserve">  - Pjevačko društvo Hvar</t>
  </si>
  <si>
    <t xml:space="preserve">  - VGO "Primanota" Hvar</t>
  </si>
  <si>
    <t xml:space="preserve">  - Udruga kriva maslina Brusje</t>
  </si>
  <si>
    <t xml:space="preserve">  - Udruga kuhara Hvar</t>
  </si>
  <si>
    <t xml:space="preserve">  - Udruga proizvođača ljek.i aromat.bilja "HERBAE" Hvar</t>
  </si>
  <si>
    <t xml:space="preserve">  RASHODI ZA POHRANJENE VRIJEDNOSTI</t>
  </si>
  <si>
    <t xml:space="preserve">  PLEMENITI METALI I OSTALE POHRANJENE VRIJEDNOSTI</t>
  </si>
  <si>
    <t xml:space="preserve">  Pohranjene knjige, umjet.djela i ostale vrijednosti</t>
  </si>
  <si>
    <t>RASPOLOŽIVA SREDSTVA IZ PRETHODNIH GODINA</t>
  </si>
  <si>
    <t>Prihodi poslovanja</t>
  </si>
  <si>
    <t>Prihodi od prodaje nefinancijske imovine</t>
  </si>
  <si>
    <t>U K U P N O   P R I H O D I</t>
  </si>
  <si>
    <t>Rashodi poslovanja</t>
  </si>
  <si>
    <t>Rashodi za nabavu nefinancijske imovine</t>
  </si>
  <si>
    <t>U K U P N O    R A S H O D I</t>
  </si>
  <si>
    <t>RAZLIKA  -  VIŠAK / MANJAK</t>
  </si>
  <si>
    <t>Dio viška koji se raspoređuje u razdoblju</t>
  </si>
  <si>
    <t>Primici od financijske imovine i zaduživanja</t>
  </si>
  <si>
    <t>Izdaci za financijsku imovinu im otplate zajmova</t>
  </si>
  <si>
    <t>NETO FINANCIRANJE</t>
  </si>
  <si>
    <t xml:space="preserve">        Višak/manjak + raspoloživa sred.prethod.godina</t>
  </si>
  <si>
    <t>Račun</t>
  </si>
  <si>
    <t xml:space="preserve"> IZNOS NETO FINANCIRANJA</t>
  </si>
  <si>
    <t>Ukupan donos viška/manjka predhod.godina</t>
  </si>
  <si>
    <t>Indeks
6/3</t>
  </si>
  <si>
    <t>Indeks
6/5</t>
  </si>
  <si>
    <t xml:space="preserve">Izvori ID </t>
  </si>
  <si>
    <t>Opis (naziv)</t>
  </si>
  <si>
    <t>11</t>
  </si>
  <si>
    <t>Opći prihodi i primici</t>
  </si>
  <si>
    <t>Vlastiti prihodi</t>
  </si>
  <si>
    <t>31</t>
  </si>
  <si>
    <t>Prihodi za posebne namjene</t>
  </si>
  <si>
    <t>Pomoći</t>
  </si>
  <si>
    <t>51</t>
  </si>
  <si>
    <t>Donacije</t>
  </si>
  <si>
    <t>61</t>
  </si>
  <si>
    <t>Prih.od.nefinanc.imovine i nak.štete od osiguranja</t>
  </si>
  <si>
    <t xml:space="preserve"> U K U P N O   P R I H O D I </t>
  </si>
  <si>
    <t xml:space="preserve"> U K U P N O   R A S H O D I </t>
  </si>
  <si>
    <t>01</t>
  </si>
  <si>
    <t>Opće javne usluge</t>
  </si>
  <si>
    <t>011</t>
  </si>
  <si>
    <t>Izvršna i zakonodavna tijela, financ. i fisk.poslovi</t>
  </si>
  <si>
    <t>013</t>
  </si>
  <si>
    <t>Opće usluge</t>
  </si>
  <si>
    <t>018</t>
  </si>
  <si>
    <t>Prijenosi općeg karaktera</t>
  </si>
  <si>
    <t>03</t>
  </si>
  <si>
    <t>Javni red i sigurnost</t>
  </si>
  <si>
    <t>031</t>
  </si>
  <si>
    <t>Usluge policije</t>
  </si>
  <si>
    <t>032</t>
  </si>
  <si>
    <t>Usluge protupožarne zaštite</t>
  </si>
  <si>
    <t>036</t>
  </si>
  <si>
    <t>Rash.za jav.red i sigurnost koji nisu drugdje svrstani</t>
  </si>
  <si>
    <t>04</t>
  </si>
  <si>
    <t>Ekonomski poslovi</t>
  </si>
  <si>
    <t>045</t>
  </si>
  <si>
    <t>Promet</t>
  </si>
  <si>
    <t>047</t>
  </si>
  <si>
    <t>Ostale industrije</t>
  </si>
  <si>
    <t>05</t>
  </si>
  <si>
    <t>Zaštita okoliša</t>
  </si>
  <si>
    <t>051</t>
  </si>
  <si>
    <t>Gospodarenje otpadom</t>
  </si>
  <si>
    <t>052</t>
  </si>
  <si>
    <t>Gospodarenje otpadnim vodama</t>
  </si>
  <si>
    <t>06</t>
  </si>
  <si>
    <t>Usluge unapređenja stanovanja i zajednice</t>
  </si>
  <si>
    <t>062</t>
  </si>
  <si>
    <t>Razvoj zajednice</t>
  </si>
  <si>
    <t>063</t>
  </si>
  <si>
    <t>Opskrba vodom</t>
  </si>
  <si>
    <t>064</t>
  </si>
  <si>
    <t>Ulična rasvjeta</t>
  </si>
  <si>
    <t>066</t>
  </si>
  <si>
    <t>Rashodi stanovanja i dr.komun.pogodnosti</t>
  </si>
  <si>
    <t>07</t>
  </si>
  <si>
    <t>Zdravstvo</t>
  </si>
  <si>
    <t>072</t>
  </si>
  <si>
    <t>Službe za vanjske pacijente</t>
  </si>
  <si>
    <t>08</t>
  </si>
  <si>
    <t>Rekreacija, kultura i religija</t>
  </si>
  <si>
    <t>082</t>
  </si>
  <si>
    <t>Službe kulture</t>
  </si>
  <si>
    <t>084</t>
  </si>
  <si>
    <t>Religijske i druge službe zajednice</t>
  </si>
  <si>
    <t>09</t>
  </si>
  <si>
    <t>Obrazovanje</t>
  </si>
  <si>
    <t>091</t>
  </si>
  <si>
    <t>Predškolsko i osnovno obrazovanje</t>
  </si>
  <si>
    <t>092</t>
  </si>
  <si>
    <t>Srednjoškolsko obrazovanje</t>
  </si>
  <si>
    <t>10</t>
  </si>
  <si>
    <t>Socijalna zaštita</t>
  </si>
  <si>
    <t>101</t>
  </si>
  <si>
    <t>Bolest i invaliditet</t>
  </si>
  <si>
    <t>104</t>
  </si>
  <si>
    <t>Obitelj i djeca</t>
  </si>
  <si>
    <t>106</t>
  </si>
  <si>
    <t>Stanovanje</t>
  </si>
  <si>
    <t>107</t>
  </si>
  <si>
    <t>Socijalna pomoć stanovništvu (nije u redov.progr.)</t>
  </si>
  <si>
    <t>109</t>
  </si>
  <si>
    <t>Aktivnosi soc.zaštite koje nisu drugdje svrstani</t>
  </si>
  <si>
    <t>081</t>
  </si>
  <si>
    <t>Službe rekreacije i sporta</t>
  </si>
  <si>
    <t>042</t>
  </si>
  <si>
    <t>Poljoprivreda, šumarstvo i ribarstvo</t>
  </si>
  <si>
    <t>102</t>
  </si>
  <si>
    <t>Starost</t>
  </si>
  <si>
    <t>Tablica 1.  OPĆI DIO PRORAČUNA</t>
  </si>
  <si>
    <t>O P I S  (naziv)</t>
  </si>
  <si>
    <t>O P I S</t>
  </si>
  <si>
    <t>Izvori 11 - Opći prihodi i primici</t>
  </si>
  <si>
    <t xml:space="preserve"> Glava 00102 - Izvori 11 (opći prihodi i primici)</t>
  </si>
  <si>
    <t xml:space="preserve"> Glava 00103 - Izvori 11 (opći prihodi i primici)</t>
  </si>
  <si>
    <t xml:space="preserve"> Glava 00101 - Izvori 11 (opći prihodi i primici)</t>
  </si>
  <si>
    <t xml:space="preserve">  - tekuća pomoć HZZ-a za jav.radove </t>
  </si>
  <si>
    <t>Tablica 2.  Opći dio - PRIHODI PO EKONOMSKOJ KLASIFIKACIJI</t>
  </si>
  <si>
    <t>Tablica 3.  Opći dio - RASHODI PO EKONOMSKOJ KLASIFIKACIJI</t>
  </si>
  <si>
    <t>Tablica 4.  Opći dio - PRIHODI PREMA IZVORIMA FINANCIRANJA</t>
  </si>
  <si>
    <t>Tablica 5.  Opći dio - RASHODI PREMA IZVORIMA FINANCIRANJA</t>
  </si>
  <si>
    <t>Tablica 6.  Opći dio - RASHODI PREMA FUNCIJSKOJ KLASIFIKACIJI</t>
  </si>
  <si>
    <t>Br.
oznaka</t>
  </si>
  <si>
    <t>Tablica 7.  Opći dio -  RAČUN FINANCIRANJA PREMA EKONOMSKOJ KLASIFIKACIJI</t>
  </si>
  <si>
    <t xml:space="preserve"> Tablica 8.  Opći dio - RAČUN FINANCIRANJA - ANALITIČKI PRIKAZ</t>
  </si>
  <si>
    <t xml:space="preserve"> Tablica 9.  Opći dio - RAČUN FINANCIRANJA PREMA IZVORIMA FINANCIRANJA</t>
  </si>
  <si>
    <r>
      <rPr>
        <sz val="18"/>
        <rFont val="Arial"/>
        <family val="2"/>
      </rPr>
      <t>Tablica 10. Posebni dio -</t>
    </r>
    <r>
      <rPr>
        <sz val="18"/>
        <rFont val="Algerian"/>
        <family val="5"/>
      </rPr>
      <t xml:space="preserve"> IZVRŠENJE PO ORGANIZACIJSKOJ KLASIFIKACIJI</t>
    </r>
  </si>
  <si>
    <r>
      <rPr>
        <sz val="14"/>
        <rFont val="Arial"/>
        <family val="2"/>
      </rPr>
      <t xml:space="preserve">Tablica 11. Posebni dio </t>
    </r>
    <r>
      <rPr>
        <sz val="14"/>
        <rFont val="Algerian"/>
        <family val="5"/>
      </rPr>
      <t xml:space="preserve">- IZVRŠENJE PO PROGRAMSKOJ KLASIFIKACIJI </t>
    </r>
  </si>
  <si>
    <t xml:space="preserve">  - tekuća pomoć HZZ-a za dj.vrtić </t>
  </si>
  <si>
    <t xml:space="preserve">  - tekuća pomoć Lučke uprave</t>
  </si>
  <si>
    <t xml:space="preserve"> 3632</t>
  </si>
  <si>
    <t xml:space="preserve"> Kapitalne pomoći unutar općeg proračuna</t>
  </si>
  <si>
    <t xml:space="preserve"> 383</t>
  </si>
  <si>
    <t xml:space="preserve"> KAZNE, PENALI I NAKNADE ŠTETE</t>
  </si>
  <si>
    <t xml:space="preserve"> 3831</t>
  </si>
  <si>
    <t xml:space="preserve"> Naknade štete pravnim i fizičkim osobama</t>
  </si>
  <si>
    <t xml:space="preserve"> 65267</t>
  </si>
  <si>
    <t xml:space="preserve"> 65269</t>
  </si>
  <si>
    <t xml:space="preserve"> - ostali prihodi - Dječji vrtić</t>
  </si>
  <si>
    <t xml:space="preserve"> 66313</t>
  </si>
  <si>
    <t xml:space="preserve"> - tekuće donacije trgovačkih društava</t>
  </si>
  <si>
    <t xml:space="preserve"> 631</t>
  </si>
  <si>
    <t xml:space="preserve"> POMOĆI INOZEMNIH VLADA</t>
  </si>
  <si>
    <t xml:space="preserve"> Tekuće pomoći Inozemnih vlada</t>
  </si>
  <si>
    <t xml:space="preserve"> Prihodi od pozit. teč. razlika i razlika zbog primjene val. klauz.</t>
  </si>
  <si>
    <t xml:space="preserve"> 6419</t>
  </si>
  <si>
    <t xml:space="preserve"> 64199</t>
  </si>
  <si>
    <t xml:space="preserve"> Ostali prihodi od financijske imovine</t>
  </si>
  <si>
    <t xml:space="preserve"> -ostali prihodi od financijske imovine - Knjižnica</t>
  </si>
  <si>
    <t xml:space="preserve"> 3434</t>
  </si>
  <si>
    <t xml:space="preserve"> Ostali nesp. fin.rashodi</t>
  </si>
  <si>
    <t>096</t>
  </si>
  <si>
    <t>Dodatno usluge u obrazovanju</t>
  </si>
  <si>
    <t xml:space="preserve"> Aktivnost A1001 02: Rad gradskog vijeća
                                          i radnih tijela GV</t>
  </si>
  <si>
    <t xml:space="preserve"> Program 1011: Prostorno uređenje i unapređenje stanovanja</t>
  </si>
  <si>
    <t xml:space="preserve"> Aktivnost A1011 01: Geodetsko-katastarski poslovi</t>
  </si>
  <si>
    <t xml:space="preserve"> K.projekt K1011 02:  Planovi i projekti prostornog uređenja</t>
  </si>
  <si>
    <t xml:space="preserve"> Program 1010: Projekti strateškog razvoja i EU fondova</t>
  </si>
  <si>
    <t xml:space="preserve">  RASHODI ZA PR. DUGOTRAJNU IMOVINU</t>
  </si>
  <si>
    <t>426</t>
  </si>
  <si>
    <t xml:space="preserve">  NEMATERIJANA PROIZVEDENA IMOVINA</t>
  </si>
  <si>
    <t xml:space="preserve">  Razvojna strategija turizma</t>
  </si>
  <si>
    <t xml:space="preserve">  Studija razvoja prema energetskoj tranziciji</t>
  </si>
  <si>
    <t xml:space="preserve"> K.projekt K1011 03:  Kupnja nekretnina za opće namjene
                                          i prava prvokupa</t>
  </si>
  <si>
    <t xml:space="preserve">  Otkup zemljišta </t>
  </si>
  <si>
    <t xml:space="preserve">  Ostali građevinski objekti </t>
  </si>
  <si>
    <t xml:space="preserve"> Program 1012:  Razvoj i upravljanje sustavom vodoopskrbe</t>
  </si>
  <si>
    <t xml:space="preserve"> T.projekt T1012 01: Pomoć Hvarskom vodovodu za
                                    izgradnju vodovodne mreže</t>
  </si>
  <si>
    <t xml:space="preserve"> Program 1013:  Izgradnja i održavanje javne rasvjete</t>
  </si>
  <si>
    <t xml:space="preserve"> Aktivnost A1013 01:  Održavanje javne rasvjete i troš.energije</t>
  </si>
  <si>
    <t xml:space="preserve"> Aktivnost A1014 01: Čišćenje i održavanje javnih površina                        </t>
  </si>
  <si>
    <t xml:space="preserve"> K.prijekt K1014 03:  Izgradnja javnih površina</t>
  </si>
  <si>
    <t xml:space="preserve"> Program 1015:  Izgradnja i održavanje gradskog groblja</t>
  </si>
  <si>
    <t xml:space="preserve"> K.projekt K1015 01: Kupnja zemljišta za novo groblje </t>
  </si>
  <si>
    <t xml:space="preserve"> K.prijekt K1015 02:  Izgradnja gradskog groblja</t>
  </si>
  <si>
    <t xml:space="preserve"> Aktivnost A1015 03:  Održavanje grad.groblja i mrtvačnice                        </t>
  </si>
  <si>
    <t xml:space="preserve"> Program 1016:  Održavanje i gospodarenje obalnim pojasom</t>
  </si>
  <si>
    <t xml:space="preserve"> Aktivnost A1016 01: Održavanje obale i obalnog pojasa                        </t>
  </si>
  <si>
    <t xml:space="preserve"> Aktivnost A1016 02: Gospodarenje i čišćenje obale
                                          i obalnog pojasa                        </t>
  </si>
  <si>
    <t xml:space="preserve"> K.prijekt K1016 03:  Izgradnja lučice Križna Luka</t>
  </si>
  <si>
    <t xml:space="preserve">  Ostali građevinski objekti - luke</t>
  </si>
  <si>
    <t xml:space="preserve"> Program 1017: Zaštita, očuvanje i unapređenje zdravlja</t>
  </si>
  <si>
    <t xml:space="preserve"> Aktivnost A1017 01: Pomoć Hitnoj medicinskoj pomoći SDŽ</t>
  </si>
  <si>
    <t xml:space="preserve"> Aktivnost A1017 02: Pomoći ostalim zdravstvenim ustanovama SDŽ</t>
  </si>
  <si>
    <t xml:space="preserve"> K.prijekt K1017 03:  Izgradnja zdravstvenog centra</t>
  </si>
  <si>
    <t xml:space="preserve">  Poslovni objekt - zdravstveni centar</t>
  </si>
  <si>
    <t xml:space="preserve"> Program 1018: Razvoj sporta i rekreacije</t>
  </si>
  <si>
    <t xml:space="preserve"> Aktivnost A1018 01: Održavanje sportskih terena</t>
  </si>
  <si>
    <t xml:space="preserve"> K.projekt K1018 03:  Izgradnja sportskog centra</t>
  </si>
  <si>
    <t xml:space="preserve"> K.prijekt K1018 04:  Izgradnja sportsko-rekreacijskih terena</t>
  </si>
  <si>
    <t xml:space="preserve"> Program 1019: Promicanje kulture</t>
  </si>
  <si>
    <t xml:space="preserve"> Aktivnost A1019 01: Hvarske ljetne priredbe</t>
  </si>
  <si>
    <t xml:space="preserve"> Aktivnost A1019 03: Donacije udrugama u kulturi</t>
  </si>
  <si>
    <t xml:space="preserve"> Aktivnost A1019 04: Pomoć Muzeju Hvarske baštine</t>
  </si>
  <si>
    <t xml:space="preserve"> Aktivnost A1019 05: Održavanje spomenika kulture</t>
  </si>
  <si>
    <t xml:space="preserve"> K.projekt K1019 06: Dodatna ulaganja na zgradi Arsenal s Fontikom</t>
  </si>
  <si>
    <t xml:space="preserve"> K.projekt K1019 07: Opremanje spomenika kulture</t>
  </si>
  <si>
    <t xml:space="preserve"> K.projekt K1019 08: Dodatna ulaganja na Palači Vukašinović</t>
  </si>
  <si>
    <t xml:space="preserve"> K.projekt K1019 09: HVAR - Tvrđava kulture</t>
  </si>
  <si>
    <t xml:space="preserve">  Dodatna ulaganja na gradskoj Loggi</t>
  </si>
  <si>
    <t xml:space="preserve"> Program 1020: Potpore vjerskim zajednicama</t>
  </si>
  <si>
    <t xml:space="preserve"> Aktivnost A1020 01: Donacije vjerskim zajednicama</t>
  </si>
  <si>
    <t xml:space="preserve"> Program 1021:  Razvoj civilnog društva</t>
  </si>
  <si>
    <t xml:space="preserve"> Aktivnost A1021 01:  Potpora političkim strankama</t>
  </si>
  <si>
    <t xml:space="preserve"> Aktivnost A1021 02:  Potpora ostalim udrugama civilnog društva</t>
  </si>
  <si>
    <t xml:space="preserve"> Program 1022: Osnovno i srednjoškolsko obrazovanje</t>
  </si>
  <si>
    <t xml:space="preserve"> Aktivnost A1022 01: Pomoći osnovnim školama</t>
  </si>
  <si>
    <t xml:space="preserve"> Program 1023: Socijalna skrb </t>
  </si>
  <si>
    <t xml:space="preserve"> Aktivnost A1023 01: Pomoći građanima i kućanstvima</t>
  </si>
  <si>
    <t xml:space="preserve"> Aktivnost A1023 02:  Pomoći Gradu Vukovaru za stipendije</t>
  </si>
  <si>
    <t xml:space="preserve"> Aktivnost A1023 03:  Pomoći obiteljima i djeci (stipendije)</t>
  </si>
  <si>
    <t xml:space="preserve"> Aktivnost A1023 05:  Pomoć za podmirenje troš. stanovanja</t>
  </si>
  <si>
    <t xml:space="preserve"> Aktivnost A1023 06:  Pomoć Crvenom križu GD Hvar</t>
  </si>
  <si>
    <t xml:space="preserve"> K.projekt K1023 07: Izgradnja doma za starije</t>
  </si>
  <si>
    <t xml:space="preserve">  Intelektualne i osobne usluge ( projekt uređenja i sl.)</t>
  </si>
  <si>
    <t xml:space="preserve">  Ostale usluge ( uređenja </t>
  </si>
  <si>
    <t xml:space="preserve"> T.projekt T2001 03: Uređenje dječjeg vrtića</t>
  </si>
  <si>
    <t>383</t>
  </si>
  <si>
    <t>3831</t>
  </si>
  <si>
    <t xml:space="preserve">  KAZNE, PENALI I NAKNADE ŠTETE</t>
  </si>
  <si>
    <t xml:space="preserve">  Naknade za štete pravnim i fizičkim osobama</t>
  </si>
  <si>
    <t xml:space="preserve">  Ostali materijal ( kante za otpad)</t>
  </si>
  <si>
    <t xml:space="preserve">  Tekuća pomoć Osnovnoj školi Hvar </t>
  </si>
  <si>
    <t>3632</t>
  </si>
  <si>
    <t xml:space="preserve">  Turistička zajednica Grada Hvara - tekuća donacija</t>
  </si>
  <si>
    <t xml:space="preserve">  - Klapa "Pharia"</t>
  </si>
  <si>
    <t>4223</t>
  </si>
  <si>
    <t xml:space="preserve">  Oprema za grijanje, ventilaciju i hlađenje</t>
  </si>
  <si>
    <t xml:space="preserve">  Sportsko rek. Tereni na JP</t>
  </si>
  <si>
    <t xml:space="preserve">  Ostali neps. fin.rashodi</t>
  </si>
  <si>
    <t xml:space="preserve"> 6311</t>
  </si>
  <si>
    <t xml:space="preserve"> 63111</t>
  </si>
  <si>
    <t xml:space="preserve"> Tekuće pomoći pokrajine Veneto (italija)</t>
  </si>
  <si>
    <t xml:space="preserve"> 6414</t>
  </si>
  <si>
    <t xml:space="preserve"> Prihodi od zateznih kamata</t>
  </si>
  <si>
    <t xml:space="preserve"> 64143</t>
  </si>
  <si>
    <t xml:space="preserve"> -zatezne kamate iz obveznih odnosa i dr.</t>
  </si>
  <si>
    <t xml:space="preserve"> - naknada za obavljanje pokretne prodaje</t>
  </si>
  <si>
    <t xml:space="preserve"> - ostali prihodi </t>
  </si>
  <si>
    <t xml:space="preserve"> - prihodi od ostalih manifestacija</t>
  </si>
  <si>
    <t xml:space="preserve"> 66323</t>
  </si>
  <si>
    <t xml:space="preserve"> - kapitalne donacije trgovačkih društava</t>
  </si>
  <si>
    <t xml:space="preserve"> U K U P N O   P R I H O D I  ( 6 + 7  +8 )</t>
  </si>
  <si>
    <t xml:space="preserve"> 4226</t>
  </si>
  <si>
    <t xml:space="preserve"> Sportska i glazbena  oprema</t>
  </si>
  <si>
    <t xml:space="preserve"> Ostale nespomenute izložbene vrijednosti</t>
  </si>
  <si>
    <t>431</t>
  </si>
  <si>
    <t xml:space="preserve"> 423</t>
  </si>
  <si>
    <t xml:space="preserve"> PRIJEVOZNA SREDSTVA</t>
  </si>
  <si>
    <t xml:space="preserve"> 4233</t>
  </si>
  <si>
    <t xml:space="preserve"> Plovila</t>
  </si>
  <si>
    <t xml:space="preserve"> 4244</t>
  </si>
  <si>
    <t xml:space="preserve"> - prih. na temelju naknade štete od osiguranja- </t>
  </si>
  <si>
    <t xml:space="preserve"> Izvor 11 (opći prihodi i primici)</t>
  </si>
  <si>
    <t xml:space="preserve"> Izvor 21 (vlastiti prihodi)</t>
  </si>
  <si>
    <t xml:space="preserve"> Izvor 31 (prihodi za posebne namjene)</t>
  </si>
  <si>
    <t xml:space="preserve"> Izvor 41 (pomoći)</t>
  </si>
  <si>
    <t xml:space="preserve"> Izvor 51 (donacije)</t>
  </si>
  <si>
    <t>Izvor 61 (prihodi od nefinanc.imovine)</t>
  </si>
  <si>
    <t xml:space="preserve"> Ukupni izvori Aktivnost A1001 02</t>
  </si>
  <si>
    <t xml:space="preserve"> Ukupni izvori Aktivnost A1001 01</t>
  </si>
  <si>
    <t>423</t>
  </si>
  <si>
    <t>4233</t>
  </si>
  <si>
    <t xml:space="preserve">  Plovila - brod CABIN</t>
  </si>
  <si>
    <t xml:space="preserve"> Ukupni izvori Aktivnost A1002 01</t>
  </si>
  <si>
    <t xml:space="preserve"> Ukupni izvori Aktivnost A1003 01</t>
  </si>
  <si>
    <t xml:space="preserve"> Ukupni izvori Aktivnost A1004 02</t>
  </si>
  <si>
    <t xml:space="preserve"> Ukupni izvori Aktivnost A1005 01</t>
  </si>
  <si>
    <t xml:space="preserve"> Ukupni izvori Aktivnost A1005 02</t>
  </si>
  <si>
    <t xml:space="preserve"> Ukupni izvori Aktivnost A1005 03</t>
  </si>
  <si>
    <t xml:space="preserve"> Ukupni izvori Aktivnost A1005 04</t>
  </si>
  <si>
    <t xml:space="preserve"> Ukupni izvori Aktivnost A1005 05</t>
  </si>
  <si>
    <t xml:space="preserve"> Ukupni izvori Aktivnost A1006 01</t>
  </si>
  <si>
    <t xml:space="preserve"> Ukupni izvori K.projekt K1006 03</t>
  </si>
  <si>
    <t xml:space="preserve"> Ukupni izvori K.projekt  K1006 04</t>
  </si>
  <si>
    <t xml:space="preserve"> Ukupni izvori T.projekt T1007 01</t>
  </si>
  <si>
    <t xml:space="preserve"> Ukupni izvori Aktivnost A1008 01</t>
  </si>
  <si>
    <t xml:space="preserve"> Ukupni izvori K.projekt  K1008 02</t>
  </si>
  <si>
    <t xml:space="preserve"> Ukupni izvori K.projekt  K1008 03</t>
  </si>
  <si>
    <t xml:space="preserve"> Ukupni izvori Aktivnost A1009 01</t>
  </si>
  <si>
    <t xml:space="preserve"> Ukupni izvori T.projekt T1009 02</t>
  </si>
  <si>
    <t xml:space="preserve"> Ukupni izvori K.projekt  K1009 03</t>
  </si>
  <si>
    <t xml:space="preserve"> Ukupni izvori Aktivnost A1009 04</t>
  </si>
  <si>
    <t xml:space="preserve"> Ukupni izvori T.projekt T1009 05</t>
  </si>
  <si>
    <t xml:space="preserve"> T.projekt T1009 05: Pomoć Odvodnji-Hvar za izgradnju
                                        fekalne kanalizacije</t>
  </si>
  <si>
    <t xml:space="preserve"> K.projekt K1009 06: Izgradnja oborinske odvodnje</t>
  </si>
  <si>
    <t xml:space="preserve"> Ukupni izvori K.projekt  K1009 06</t>
  </si>
  <si>
    <t xml:space="preserve">  Ostali građ.objekti- oborinska odvodnja</t>
  </si>
  <si>
    <t xml:space="preserve"> Ukupni izvori K.projekt  K1010 01</t>
  </si>
  <si>
    <t xml:space="preserve"> Ukupni izvori Aktivnost A1011 01</t>
  </si>
  <si>
    <t xml:space="preserve"> Ukupni izvori K.projekt  K1011 03</t>
  </si>
  <si>
    <t xml:space="preserve"> K.projekt K1011 04: Kupnja nekretnina na Trgu 
                                          arka Miličića- tržnica</t>
  </si>
  <si>
    <t xml:space="preserve"> Ukupni izvori K.projekt  K1011 04</t>
  </si>
  <si>
    <t xml:space="preserve"> Aktivnost A1011 05: Uređenje Etno-eko sela</t>
  </si>
  <si>
    <t xml:space="preserve"> Ukupni izvori Aktivnost A1011 05</t>
  </si>
  <si>
    <t xml:space="preserve"> Aktivnost A1011 06:  Izgradnja nove benzinske postaje                                          </t>
  </si>
  <si>
    <t xml:space="preserve"> Ukupni izvori Akrivnost  A1011 06</t>
  </si>
  <si>
    <t xml:space="preserve"> Ukupni izvori T.projekt T1012 01</t>
  </si>
  <si>
    <t xml:space="preserve"> Ukupni izvori Akrivnost  A1013 01</t>
  </si>
  <si>
    <t xml:space="preserve"> Ukupni izvori K.projekt  K1013 02</t>
  </si>
  <si>
    <t xml:space="preserve"> Ukupni izvori Akrivnost  A1014 01</t>
  </si>
  <si>
    <t xml:space="preserve"> Ukupni izvori K.projekt  K1014 03</t>
  </si>
  <si>
    <t xml:space="preserve"> Ukupni izvori K.projekt  K1014 04</t>
  </si>
  <si>
    <t xml:space="preserve"> K.prijekt K1014 05:  Izgradnja i implementacija IP mreže </t>
  </si>
  <si>
    <t xml:space="preserve"> Ukupni izvori K.projekt  K1014 05</t>
  </si>
  <si>
    <t xml:space="preserve"> K.prijekt K1014 04:  Uređenje Trga Sv. Stjepana</t>
  </si>
  <si>
    <t xml:space="preserve"> Ukupni izvori K.projekt  K1015 01</t>
  </si>
  <si>
    <t xml:space="preserve"> Ukupni izvori K.projekt  K1015 02</t>
  </si>
  <si>
    <t xml:space="preserve"> Ukupni izvori Aktivnost A1015 03</t>
  </si>
  <si>
    <t xml:space="preserve"> Ukupni izvori Aktivnost A1016 01</t>
  </si>
  <si>
    <t xml:space="preserve"> Ukupni izvori Aktivnost A1016 02</t>
  </si>
  <si>
    <t xml:space="preserve"> Ukupni izvori K.projekt  K1016 03</t>
  </si>
  <si>
    <t xml:space="preserve"> Ukupni izvori Aktivnost A1017 01</t>
  </si>
  <si>
    <t xml:space="preserve"> Ukupni izvori Aktivnost A1017 02</t>
  </si>
  <si>
    <t xml:space="preserve"> Ukupni izvori K.projekt  K1017 03</t>
  </si>
  <si>
    <t xml:space="preserve"> Ukupni izvori Aktivnost A1018 01</t>
  </si>
  <si>
    <t xml:space="preserve"> Ukupni izvori Aktivnost A1018 02</t>
  </si>
  <si>
    <t xml:space="preserve"> Ukupni izvori K.projekt  K1018 03</t>
  </si>
  <si>
    <t xml:space="preserve"> Ukupni izvori K.projekt  K1018 04</t>
  </si>
  <si>
    <t xml:space="preserve"> Ukupni izvori K.projekt  K1018 05</t>
  </si>
  <si>
    <t xml:space="preserve"> Ukupni izvori Aktivnost A1019 01</t>
  </si>
  <si>
    <t xml:space="preserve">  Usluga telefona, pošte i prijevoza</t>
  </si>
  <si>
    <t xml:space="preserve"> Ukupni izvori Aktivnost A1019 02</t>
  </si>
  <si>
    <t xml:space="preserve"> Aktivnost A1019 02: Dani  hvarskog kazalište</t>
  </si>
  <si>
    <t xml:space="preserve"> Ukupni izvori Aktivnost A1019 03</t>
  </si>
  <si>
    <t xml:space="preserve">  - Glazbeni studio Hvar</t>
  </si>
  <si>
    <t xml:space="preserve"> Ukupni izvori Aktivnost A1019 04</t>
  </si>
  <si>
    <t xml:space="preserve"> Ukupni izvori Aktivnost A1019 05</t>
  </si>
  <si>
    <t xml:space="preserve"> Ukupni izvori K.projekt  K1019 06</t>
  </si>
  <si>
    <t xml:space="preserve"> Ukupni izvori K.projekt  K1019 07</t>
  </si>
  <si>
    <t xml:space="preserve"> Ukupni izvori K.projekt  K1019 08</t>
  </si>
  <si>
    <t xml:space="preserve"> Ukupni izvori K.projekt  K1019 10</t>
  </si>
  <si>
    <t xml:space="preserve"> K.projekt K1019 10: Dodatna ulaganja na gradskoj Loggi i kuli sat</t>
  </si>
  <si>
    <t xml:space="preserve"> Ukupni izvori Aktivnost A1020 01</t>
  </si>
  <si>
    <t xml:space="preserve"> Ukupni izvori Aktivnost A1021 01</t>
  </si>
  <si>
    <t xml:space="preserve"> Ukupni izvori Aktivnost A1021 02</t>
  </si>
  <si>
    <t xml:space="preserve">  - Udruga Vita Pharos</t>
  </si>
  <si>
    <t xml:space="preserve"> Ukupni izvori Aktivnost A1022 02</t>
  </si>
  <si>
    <t xml:space="preserve"> Ukupni izvori Aktivnost A1022 01</t>
  </si>
  <si>
    <t xml:space="preserve"> Ukupni izvori Aktivnost A1023 01</t>
  </si>
  <si>
    <t xml:space="preserve"> Ukupni izvori Aktivnost A1023 02</t>
  </si>
  <si>
    <t xml:space="preserve"> Ukupni izvori Aktivnost A1023 03</t>
  </si>
  <si>
    <t xml:space="preserve"> Ukupni izvori Aktivnost A1023 04</t>
  </si>
  <si>
    <t xml:space="preserve">  - Udruga osoba s invaliditetom o. Hvara</t>
  </si>
  <si>
    <t xml:space="preserve"> Ukupni izvori Aktivnost A1023 06</t>
  </si>
  <si>
    <t xml:space="preserve"> Ukupni izvori Aktivnost A1023 05</t>
  </si>
  <si>
    <t xml:space="preserve"> Ukupni izvori Aktivnost A1023 07</t>
  </si>
  <si>
    <t xml:space="preserve"> Ukupni izvori Aktivnost A2001 01</t>
  </si>
  <si>
    <t xml:space="preserve"> Ukupni izvori K.projekt  K 2001 03</t>
  </si>
  <si>
    <t xml:space="preserve"> Ukupni izvori Aktivnost A3001 01</t>
  </si>
  <si>
    <t xml:space="preserve"> Ukupni izvori Aktivnost A3001 02</t>
  </si>
  <si>
    <t xml:space="preserve"> Program 1002:  Prigodni kulturni-zabavni programi</t>
  </si>
  <si>
    <t xml:space="preserve"> K.Projekt K1006 04: Rekonstrukcija posl.objekta na Trgu Marka Miličića</t>
  </si>
  <si>
    <t xml:space="preserve"> Program 1008: Izgradnja i održavanje cesta i prometnica</t>
  </si>
  <si>
    <t xml:space="preserve"> T.projekt T1014 02:  Pomoć Komunalnom za kupnju uređaja i
                                     opreme za čišćenje i zbrinjavanja otpada na JP</t>
  </si>
  <si>
    <t xml:space="preserve"> 83</t>
  </si>
  <si>
    <t>PRIMICI OD PRODAJE DIONICA I UDJELA U GLAVNICI</t>
  </si>
  <si>
    <t xml:space="preserve"> 832</t>
  </si>
  <si>
    <t>PRIMICI OD PRODAJE DIONICA I UDJELA U GLAVNICI 
TRGOVAČKIH DRUŠTAVA U JAVNOM SEKTORU</t>
  </si>
  <si>
    <t xml:space="preserve"> 8321</t>
  </si>
  <si>
    <t xml:space="preserve"> Dionice i udjeli u glavnici trgovačkih društava u javnom sektoru</t>
  </si>
  <si>
    <t xml:space="preserve"> 84</t>
  </si>
  <si>
    <t>PRIMICI OD ZADUŽIVANJA</t>
  </si>
  <si>
    <t xml:space="preserve"> 842</t>
  </si>
  <si>
    <t>PRIMLJENI KREDITI I ZAJMOVI OD KREDITNIH I
OSTALIH FIN.INSTITUCIJA U JAVNOM SEKTORU</t>
  </si>
  <si>
    <t xml:space="preserve"> 8422</t>
  </si>
  <si>
    <t xml:space="preserve"> Primljeni krediti od kreditnih institucija u javnom sektoru</t>
  </si>
  <si>
    <t xml:space="preserve"> 847</t>
  </si>
  <si>
    <t>PRIMLJENI ZAJMOVI OD DRUGIH RAZINA VLASTI</t>
  </si>
  <si>
    <t xml:space="preserve"> 8471</t>
  </si>
  <si>
    <t xml:space="preserve"> Primljeni zajmovi od državnog proračuna</t>
  </si>
  <si>
    <t xml:space="preserve"> 342</t>
  </si>
  <si>
    <t xml:space="preserve"> KAMATE NA PRIMLJENE KREDITE I ZAJMOVE</t>
  </si>
  <si>
    <t xml:space="preserve"> Kamate na primljene kredite i zajmove</t>
  </si>
  <si>
    <t xml:space="preserve"> 412</t>
  </si>
  <si>
    <t xml:space="preserve"> NEMATERIJALNA IMOVINA</t>
  </si>
  <si>
    <t xml:space="preserve"> 4124</t>
  </si>
  <si>
    <t xml:space="preserve"> Ostala prava</t>
  </si>
  <si>
    <t>UKUPNO RASHODI ( 3 + 4)</t>
  </si>
  <si>
    <t xml:space="preserve"> 6117</t>
  </si>
  <si>
    <t xml:space="preserve"> 66322</t>
  </si>
  <si>
    <t xml:space="preserve"> - kapitalne donacije neprofitnih organizacija</t>
  </si>
  <si>
    <t xml:space="preserve"> 6632</t>
  </si>
  <si>
    <t xml:space="preserve"> - kapitalne donacije </t>
  </si>
  <si>
    <t xml:space="preserve"> 722</t>
  </si>
  <si>
    <t xml:space="preserve"> PRIHODI OD PRODAJE POSTROJENJA I OPREME</t>
  </si>
  <si>
    <t xml:space="preserve"> 7226</t>
  </si>
  <si>
    <t xml:space="preserve"> Prihodi od prodaje sportske i glazbene opreme</t>
  </si>
  <si>
    <t xml:space="preserve"> 72262</t>
  </si>
  <si>
    <t xml:space="preserve"> - prih. od prodaje glazbenih instrumenata i opreme</t>
  </si>
  <si>
    <t xml:space="preserve"> 84711</t>
  </si>
  <si>
    <t xml:space="preserve"> 84712</t>
  </si>
  <si>
    <t xml:space="preserve"> Primljeni zajmovi od državnog proračuna- kratkoročni</t>
  </si>
  <si>
    <t xml:space="preserve"> Primljeni zajmovi od državnog proračuna-dugoročni</t>
  </si>
  <si>
    <t xml:space="preserve"> 3113</t>
  </si>
  <si>
    <t xml:space="preserve"> 4224</t>
  </si>
  <si>
    <t xml:space="preserve"> Medicinska i labaratorijska opema</t>
  </si>
  <si>
    <t xml:space="preserve"> 4211</t>
  </si>
  <si>
    <t xml:space="preserve"> Stambeni objekti</t>
  </si>
  <si>
    <t xml:space="preserve"> 66321</t>
  </si>
  <si>
    <t xml:space="preserve"> - kapitalne donacije fizičkih osoba</t>
  </si>
  <si>
    <t xml:space="preserve"> 66324</t>
  </si>
  <si>
    <t xml:space="preserve">  - kapitalne donacije od ostalih subjekata izvan općeg proračuna- Knjižnica</t>
  </si>
  <si>
    <t>81</t>
  </si>
  <si>
    <t>71</t>
  </si>
  <si>
    <t>Namjenski primici</t>
  </si>
  <si>
    <t xml:space="preserve"> 54</t>
  </si>
  <si>
    <t xml:space="preserve"> 542</t>
  </si>
  <si>
    <t xml:space="preserve"> 5422</t>
  </si>
  <si>
    <t xml:space="preserve"> Otplata glavnice primljenih kredita od kreditnih institucija u javnom sektoru</t>
  </si>
  <si>
    <t xml:space="preserve"> OTPLATA GLAVNICE PRIMLJENIH KREDITA I ZAJMOVA OD 
 KREDTINIH I OSTALIH FIN.INSTITUCIJA U JAVNOM SEKTORU</t>
  </si>
  <si>
    <t xml:space="preserve"> PRIMICI OD ZADUŽIVANJA</t>
  </si>
  <si>
    <t xml:space="preserve"> PRIMLJENI ZAJMOVI OD DRUGIH RAZINA VLASTI</t>
  </si>
  <si>
    <t xml:space="preserve"> Primljeni zajmovi od državnog proračuna-kratkoročni</t>
  </si>
  <si>
    <t xml:space="preserve"> PRIMICI OD PRODAJE DIONICA I UDJELA U GLAVNICI</t>
  </si>
  <si>
    <t xml:space="preserve"> PRIMICI OD PRODAJE DIONICA I UDJELA U GLAVNICI 
 TRGOVAČKIH DRUŠTAVA U JAVNOM SEKTORU</t>
  </si>
  <si>
    <t xml:space="preserve"> PRIMLJENI KREDITI I ZAJMOVI OD KREDITNIH I OSTALIH 
 FINANCIJSKIH INSTITUCIJA U JAVNOM SEKTORU</t>
  </si>
  <si>
    <t xml:space="preserve"> Primljeni kreditin od kreditnih institucija u javnom sektoru</t>
  </si>
  <si>
    <t xml:space="preserve"> 83212</t>
  </si>
  <si>
    <t xml:space="preserve">  Dionice i udjeli u glavnici trgovačkih društava u javnom sektoru- EKO -Hvar j.t.d.</t>
  </si>
  <si>
    <t xml:space="preserve"> Primljeni zajmovi od državnog proračuna-kratkoročni (beskamatni zajam)</t>
  </si>
  <si>
    <t xml:space="preserve"> Primljeni zajmovi od državnog proračuna-dugoročni (beskamatni zajam)</t>
  </si>
  <si>
    <t>3</t>
  </si>
  <si>
    <t>4</t>
  </si>
  <si>
    <t>5</t>
  </si>
  <si>
    <t>6</t>
  </si>
  <si>
    <t>Vlastiti prihodi Dječji vrtić</t>
  </si>
  <si>
    <t>Vlastiti prihodi Gradska knjižnica</t>
  </si>
  <si>
    <t>Prihodi za posebne namjene Grad Hvar</t>
  </si>
  <si>
    <t>Vlastiti prihodi Grad Hvar</t>
  </si>
  <si>
    <t>Prihodi za posebne namjene- Dječji vrtić</t>
  </si>
  <si>
    <t>Pomoći Grad Hvar</t>
  </si>
  <si>
    <t>Pomoći Dječji vrtić</t>
  </si>
  <si>
    <t>Pomoći Gradska knjižnica</t>
  </si>
  <si>
    <t>Donacije Grad Hvar</t>
  </si>
  <si>
    <t>Donacije Dječji vrtić</t>
  </si>
  <si>
    <t>Donacije Gradska knjižnica</t>
  </si>
  <si>
    <t>33</t>
  </si>
  <si>
    <t>4A</t>
  </si>
  <si>
    <t>4B</t>
  </si>
  <si>
    <t>52</t>
  </si>
  <si>
    <t>53</t>
  </si>
  <si>
    <t>62</t>
  </si>
  <si>
    <t>63</t>
  </si>
  <si>
    <t>Prihodi za posebne namjene Dječji vrtić</t>
  </si>
  <si>
    <t xml:space="preserve">Pomoći Gradska knjižnica </t>
  </si>
  <si>
    <t>8</t>
  </si>
  <si>
    <t>82</t>
  </si>
  <si>
    <t>Primici od financijske imovine</t>
  </si>
  <si>
    <t>Primici od zaduživanja</t>
  </si>
  <si>
    <t>UKUPNI PRIMICI</t>
  </si>
  <si>
    <t>UKUPNI IZDACI</t>
  </si>
  <si>
    <t>Izvori 8 - Namjenski primici</t>
  </si>
  <si>
    <t>Izvori 81 - Primici od zaduživanja</t>
  </si>
  <si>
    <t>Izvori 82 - Primici od financijske imovine</t>
  </si>
  <si>
    <t xml:space="preserve"> Izvor 31 (vlastiti prihodi)</t>
  </si>
  <si>
    <t xml:space="preserve"> Izvor 51 (pomoći)</t>
  </si>
  <si>
    <t xml:space="preserve"> Izvor 61 (donacije)</t>
  </si>
  <si>
    <t>Izvor 71 (prihodi od nefinanc.imovine)</t>
  </si>
  <si>
    <t xml:space="preserve"> Izvor 4A (prihodi za posebne namjene)</t>
  </si>
  <si>
    <t xml:space="preserve"> Glava 00101 - Izvori 71 (prihodi od nefinanc.imovine)</t>
  </si>
  <si>
    <t xml:space="preserve"> Izvor 4A(prihodi za posebne namjene)</t>
  </si>
  <si>
    <t xml:space="preserve"> Izvor 71 (prihodi od nefinanc.imovine)</t>
  </si>
  <si>
    <t xml:space="preserve">    Naknada troškova osobama izvan radnog odnosa</t>
  </si>
  <si>
    <t xml:space="preserve">   NAKNADA TROŠ. OSOBAMA IZVAN RAD.ODNOSA </t>
  </si>
  <si>
    <t xml:space="preserve"> Ukupni izvori K.projekt K1001 03</t>
  </si>
  <si>
    <t xml:space="preserve">   RAZDJEL  001:   PREDSTAVNIČKA I IZVRŠNA TIJELA GRADA,
                                 TE PRORAČUNSKI KORISNICI </t>
  </si>
  <si>
    <t xml:space="preserve"> Aktivnost A1002 01: Prigodni kulturni-zabavni programi, priredbe,
                                          koncerti, predstave i sl.</t>
  </si>
  <si>
    <t xml:space="preserve"> Program 1004: Financijski poslovi i obveze</t>
  </si>
  <si>
    <t xml:space="preserve"> Ukupni izvori Aktivnost A1004 01</t>
  </si>
  <si>
    <t>54</t>
  </si>
  <si>
    <t xml:space="preserve">  IZDACI ZA OTPLATU GLAVNICE PRIMLJENIH KREDITA I ZAJMOVA</t>
  </si>
  <si>
    <t xml:space="preserve"> Izvor 61 (prihodi od nefinanc.imovine)</t>
  </si>
  <si>
    <t>342</t>
  </si>
  <si>
    <t xml:space="preserve">  KAMATE NA PRIMLJENE KREDITE I ZAJMOVE</t>
  </si>
  <si>
    <t>3423</t>
  </si>
  <si>
    <t xml:space="preserve">  Kamate na primljene kredita i zajmove</t>
  </si>
  <si>
    <t xml:space="preserve"> Program 1006: Održavanje, dogradnja i
                                    adaptacija poslovnih objekata</t>
  </si>
  <si>
    <t xml:space="preserve"> Ukupni izvori K. projekt K1006 02</t>
  </si>
  <si>
    <t xml:space="preserve"> K.projekt K1008 03: Gradnja cesta i puteva</t>
  </si>
  <si>
    <t xml:space="preserve"> Izvor 67 (prihodi od nefinanc.imovine)</t>
  </si>
  <si>
    <t xml:space="preserve"> Ukupni izvori K.projekt  K1010 02</t>
  </si>
  <si>
    <t xml:space="preserve"> K.projekt K1013 02:  Izgradnja javne rasvjete</t>
  </si>
  <si>
    <t xml:space="preserve"> K.projekt K1013 03:  Rekonstrukcija i modernizacija javne rasvjete</t>
  </si>
  <si>
    <t xml:space="preserve"> Ukupni izvori K.projekt  K1013 03</t>
  </si>
  <si>
    <t xml:space="preserve"> Izvor 81 (primici od zaduživanja)</t>
  </si>
  <si>
    <t xml:space="preserve"> Program 1014:  Izgradnja i održavanje površina javne namjene</t>
  </si>
  <si>
    <t xml:space="preserve"> Izvor 41 (prihodi za posebne namjene)</t>
  </si>
  <si>
    <t xml:space="preserve"> Izvor 71 (prihodi od nefinanc.imovine) </t>
  </si>
  <si>
    <t xml:space="preserve"> Aktivnost A1018 02: Donacije sportskoj zajednici</t>
  </si>
  <si>
    <t xml:space="preserve">  Tekuće donacije Zajednici sportskih udruga-za rad Zajednice</t>
  </si>
  <si>
    <t xml:space="preserve">  Tekuće donacije Zajednici sportskih udruga-za rad sportskih udruga</t>
  </si>
  <si>
    <t xml:space="preserve"> K.projekt K1018 06: Izgradnja sportske judo dvorane u Općini Jelsa</t>
  </si>
  <si>
    <t xml:space="preserve"> Ukupni izvori K.projekt  K1018 06</t>
  </si>
  <si>
    <t xml:space="preserve">  POMOĆI DANE U INO. I UNUTAR OPĆEG PRORAČUNA</t>
  </si>
  <si>
    <t xml:space="preserve">  Kapitalne pomoći Općine Jelsa na novu judo dvoranu</t>
  </si>
  <si>
    <t xml:space="preserve"> Glava 00101 - Izvori 51 (pomoći Grad Hvar)</t>
  </si>
  <si>
    <t xml:space="preserve"> Glava 00101 - Izvori 61 (donacije Grad Hvar)</t>
  </si>
  <si>
    <t xml:space="preserve"> Glava 00101 - Izvori 4A (prihodi za posebne namjenem Grad Hvar)</t>
  </si>
  <si>
    <t xml:space="preserve"> Glava 00101 - Izvori 31 (vlastiti prihodi Grad Hvar)</t>
  </si>
  <si>
    <t xml:space="preserve"> Glava 00102 - Izvori 32 (vlastiti prihodi Dječji vrtić)</t>
  </si>
  <si>
    <t xml:space="preserve"> Glava 00102 - Izvori 4B (prihodi za posebne namjene Dječji vrtić)</t>
  </si>
  <si>
    <t xml:space="preserve"> Glava 00102 - Izvori 52 (pomoći Dječji vrtić)</t>
  </si>
  <si>
    <t xml:space="preserve"> Glava 00102 - Izvori 62 (donacije Dječji vrtić)</t>
  </si>
  <si>
    <t xml:space="preserve"> Izvor 4B (prihodi za posebne namjene)</t>
  </si>
  <si>
    <t xml:space="preserve"> Izvor 51 (pomoći Grad Hvar)</t>
  </si>
  <si>
    <t xml:space="preserve"> Izvor 32 (vlastiti prihodi Dječji vrtić)</t>
  </si>
  <si>
    <t xml:space="preserve"> Izvor 52 (pomoći Dječji vrtić)</t>
  </si>
  <si>
    <t xml:space="preserve"> Izvor 62 (donacije Dječji vrtić)</t>
  </si>
  <si>
    <t xml:space="preserve"> Izvor 32 (vlastiti prihodi Dječjeg vrtića)</t>
  </si>
  <si>
    <t xml:space="preserve"> Izvor 4B (prihodi za posebne namjene Dječji vrtić)</t>
  </si>
  <si>
    <t xml:space="preserve"> Izvor 62 (donacije Grad Hvar)</t>
  </si>
  <si>
    <t xml:space="preserve"> Glava 00102 - Izvori 51 (pomoći Grad Hvar)</t>
  </si>
  <si>
    <t xml:space="preserve"> Glava 00101 - Izvori 81 (primici od zaduživanja)</t>
  </si>
  <si>
    <t xml:space="preserve"> Glava 00102 - Izvori 33 (vlastiti prihodi Gradska knjižnica)</t>
  </si>
  <si>
    <t xml:space="preserve"> Glava 00102 - Izvori 53 (pomoći Gradska knjižnica)</t>
  </si>
  <si>
    <t xml:space="preserve"> Glava 00102 - Izvori 63 (donacije Gradska knjižnica)</t>
  </si>
  <si>
    <t xml:space="preserve"> Izvor 33 (vlastiti prihodi Gradska knjižnica)</t>
  </si>
  <si>
    <t xml:space="preserve"> Izvor 53 (pomoći Gradska knjižnica)</t>
  </si>
  <si>
    <t xml:space="preserve"> Izvor 63 (donacije Gradska knjižnica)</t>
  </si>
  <si>
    <t xml:space="preserve"> T.projekt T3001 03: Izgradnja nove knjižnice</t>
  </si>
  <si>
    <t xml:space="preserve"> Ukupni izvori T. projekt T3001 03</t>
  </si>
  <si>
    <t xml:space="preserve">  RASHODI ZA NABAVU NEPROIZ.DUGOT. IMOVINE</t>
  </si>
  <si>
    <t xml:space="preserve">  NEMATERIJALNA IMOVINA</t>
  </si>
  <si>
    <t xml:space="preserve">  Ostala prava- ulaganja na tuđoj imovini za novu knjižnicu</t>
  </si>
  <si>
    <t>3113</t>
  </si>
  <si>
    <t xml:space="preserve">Plaće za prekovremeni rad </t>
  </si>
  <si>
    <t>4224</t>
  </si>
  <si>
    <t xml:space="preserve">  Medicinska i labaratorijska oprema</t>
  </si>
  <si>
    <t xml:space="preserve">  Kapital. donacija DVD-u za nabavu autocisterne</t>
  </si>
  <si>
    <t xml:space="preserve"> Izvor 82 (primici od financijske imovine)</t>
  </si>
  <si>
    <t xml:space="preserve">  Stambeni objekti</t>
  </si>
  <si>
    <t>POLUGODIŠNJI IZVJEŠTAJ O IZVRŠENJU PRORAČUNA</t>
  </si>
  <si>
    <t xml:space="preserve">  - tekuća pomoć Županije SDŽ za knjižnicu</t>
  </si>
  <si>
    <t xml:space="preserve"> IZDACI ZA FINANCIJSKU IMOVINU I OTPLATE ZAJMOVA</t>
  </si>
  <si>
    <t xml:space="preserve"> 51</t>
  </si>
  <si>
    <t xml:space="preserve"> 518</t>
  </si>
  <si>
    <t>IZDACIZA DEPOZITE I JAMČEVNE POLOGE</t>
  </si>
  <si>
    <t xml:space="preserve"> 5181</t>
  </si>
  <si>
    <t xml:space="preserve"> Izdaci za dep.u tuz.kred.i ost.fin.inst.-dugoročni</t>
  </si>
  <si>
    <t xml:space="preserve"> IZDACI ZA OTPLATU GLAVNICE PRIMLJENIH KREDIDTA I ZAJMOVA</t>
  </si>
  <si>
    <t>OTPLATA GLAVNICE PRIMLJENIH KREDITA I ZAJMOVA OD KREDITNIH I OSTALIH FINANCIJSKIH INSTITUCIJA U JAVNOM SEKTORU</t>
  </si>
  <si>
    <t>Otplata glavnice primljenih kredita i zajmova od kreditnih i ostalih financijskih institucija u javnom sektoru</t>
  </si>
  <si>
    <t xml:space="preserve"> 547</t>
  </si>
  <si>
    <t>OTPLATA GLAVNICE PRIMLJENIH ZAJMOVA OD DRUGIH RAZINA VLASTI</t>
  </si>
  <si>
    <t xml:space="preserve"> 5471</t>
  </si>
  <si>
    <t>Otplata glavnice primljenih  zajmova od državnog proračuna</t>
  </si>
  <si>
    <t>UKUPNO RASHODI I IZDACI ( 3 + 4 + 5)</t>
  </si>
  <si>
    <t xml:space="preserve"> </t>
  </si>
  <si>
    <t>7</t>
  </si>
  <si>
    <t>Prih.od.nefinanc.imovine i nak.štete od osiguranja Grad Hvar</t>
  </si>
  <si>
    <t>73</t>
  </si>
  <si>
    <t>Prih.od.nefinanc.imovine i nak.štete od osiguranja-Knjižnica</t>
  </si>
  <si>
    <t xml:space="preserve"> OTPLATA GLAVNICE PRIMLJENIH  ZAJMOVA OD 
 DRUGIH RAZINA VLASTI</t>
  </si>
  <si>
    <t xml:space="preserve"> Otplata glavnice primljenih zajmova od državnog proračuna</t>
  </si>
  <si>
    <t xml:space="preserve"> IZDACI ZA OTPLATU GLAVNICE PRIMLJENIH KREDITA I ZAJMOVA</t>
  </si>
  <si>
    <t xml:space="preserve"> IZDACI ZA DANE ZAJMOVE I DEPOZITE</t>
  </si>
  <si>
    <t>5181</t>
  </si>
  <si>
    <t xml:space="preserve"> Izdaci za depozite u kreditnim i ostalim financijskim institucijama- tuzemni</t>
  </si>
  <si>
    <t xml:space="preserve"> IZDACI ZA DEPOZITE I JAMČEVNE POLOGE</t>
  </si>
  <si>
    <t>Izvori 71 - Prihodi od nef.imovine i naknade štete od osig.</t>
  </si>
  <si>
    <t>542</t>
  </si>
  <si>
    <t>5422</t>
  </si>
  <si>
    <t>547</t>
  </si>
  <si>
    <t>5471</t>
  </si>
  <si>
    <t>518</t>
  </si>
  <si>
    <t xml:space="preserve"> Aktivnost A1005 05:  Usluge sudstva,policije i pomoć komunalnog redarstva</t>
  </si>
  <si>
    <t xml:space="preserve"> K.Projekt K1006 02: Adaptacija i dogradnja zgrade u ulici Antifašizma 10</t>
  </si>
  <si>
    <t xml:space="preserve">  Tekuće pomoći unutar općeg proračuna</t>
  </si>
  <si>
    <t xml:space="preserve">  Kapitalna pomoć unutar općeg proračuna</t>
  </si>
  <si>
    <t xml:space="preserve">  Ostale naknade troškova zaposlenima</t>
  </si>
  <si>
    <t xml:space="preserve">  - kapitalna pomoć Hrvat. voda za oborinsku odvodnju</t>
  </si>
  <si>
    <t xml:space="preserve"> 63426</t>
  </si>
  <si>
    <t xml:space="preserve">  - kapitalna pomoć Lučke uprave SDŽ</t>
  </si>
  <si>
    <t xml:space="preserve"> - turistička pristojbe</t>
  </si>
  <si>
    <t xml:space="preserve"> - kapitalne donacije trgovačkih društava </t>
  </si>
  <si>
    <t xml:space="preserve"> - prihodi od ulazaka u  kazalištu, Arsenal i Leroj</t>
  </si>
  <si>
    <t xml:space="preserve"> 6381</t>
  </si>
  <si>
    <t xml:space="preserve"> Tekuće pomoći iz držav.prorač.temeljem prijenosa iz EU-Dječji v.</t>
  </si>
  <si>
    <t xml:space="preserve"> Plaće za prekovremeni rad i posebne uvjete</t>
  </si>
  <si>
    <t>3422</t>
  </si>
  <si>
    <t>Izvršeno 2022.god.</t>
  </si>
  <si>
    <t xml:space="preserve"> Aktivnost A1002 02: Promidžbene aktivnosti grada</t>
  </si>
  <si>
    <t xml:space="preserve"> Ukupni izvori Aktivnost A1002 02</t>
  </si>
  <si>
    <t xml:space="preserve"> Aktivnost A1004 01: Izdaci po kreditima i jamstvima</t>
  </si>
  <si>
    <t>3434</t>
  </si>
  <si>
    <t xml:space="preserve">  Ostali nespomenuti financijski rashodi </t>
  </si>
  <si>
    <t xml:space="preserve"> Aktivnost A1006 05: Uređenje zgrade stare škole u Velom Grablju</t>
  </si>
  <si>
    <t xml:space="preserve"> Ukupni izvori Aktivnost A1006 05</t>
  </si>
  <si>
    <t xml:space="preserve"> Ukupni izvori T projekt T1007 02</t>
  </si>
  <si>
    <t xml:space="preserve"> K.projekt K1007 03: Kupnja zemljišta za poslovno-gospod.zonu</t>
  </si>
  <si>
    <t xml:space="preserve"> Ukupni izvori K.projekt  K1007 03</t>
  </si>
  <si>
    <t xml:space="preserve">  Otkup zemljišta za poslovno-gosp.zonu</t>
  </si>
  <si>
    <t xml:space="preserve"> K.projekt K1008 02: Kupnja zemljišta za prometnu infrastrukturu</t>
  </si>
  <si>
    <t xml:space="preserve"> T.projekt T1009 02: Pomoć Komunalnom za sanacija komunalnog
 odlagališta</t>
  </si>
  <si>
    <t xml:space="preserve"> K.projekt K1009 03: Kupnja zemljišta za sanaciju odlagališta
</t>
  </si>
  <si>
    <t xml:space="preserve"> Izvor 81 (primici od zaudživanja)</t>
  </si>
  <si>
    <t xml:space="preserve"> Ukupni izvori K.projekt  K1009 08</t>
  </si>
  <si>
    <t xml:space="preserve"> K.projekt K1009 08: Izgradnja reciklažnog dvorišta, sortirnice i 
 hale za izdvojene komponente</t>
  </si>
  <si>
    <t xml:space="preserve">  Ostali građ.objekti</t>
  </si>
  <si>
    <t xml:space="preserve"> K.projekt K1010 01: Izrada strateške dokumentacije</t>
  </si>
  <si>
    <t xml:space="preserve"> K.projekt K1010 02: Projekt grada dobre energije</t>
  </si>
  <si>
    <t xml:space="preserve"> Aktivnost A1015 04:  Pomoć Komunalnom Hvar za izgradnju novog groblja                        </t>
  </si>
  <si>
    <t xml:space="preserve"> Ukupni izvori Aktivnost A1015 04</t>
  </si>
  <si>
    <t xml:space="preserve"> Ukupni izvori K.projekt  K1019 09</t>
  </si>
  <si>
    <t xml:space="preserve">  Najam opreme za održavanje priredbi</t>
  </si>
  <si>
    <t xml:space="preserve"> Ukupni izvori Aktivnost A1022 03</t>
  </si>
  <si>
    <t xml:space="preserve"> Aktivnost A1022 02: Pomoći srednjoškol. ustanovama</t>
  </si>
  <si>
    <t xml:space="preserve"> K.Projekt K2001 03: Dodat.ulaganje u zgradu i dvorištu Dječjeg vrtića</t>
  </si>
  <si>
    <t xml:space="preserve"> Ukupni izvori Aktivnost A2001 04</t>
  </si>
  <si>
    <t xml:space="preserve"> Aktivnost A2001 04: Nastavak unapređenja usluga za djecu u
sustavu ranog i predškolskog odgoja i obrazovanja Dječjeg vrtića 
Vanđela Božitković u Gradu Hvaru</t>
  </si>
  <si>
    <t>Hvar, 20.08.2023.god.</t>
  </si>
  <si>
    <t>GRADA HVARA ZA 2023. GODINU</t>
  </si>
  <si>
    <t>Izvršeno
1-6/22.god.</t>
  </si>
  <si>
    <t>Izvršeno 
1-6 2022.god.</t>
  </si>
  <si>
    <t>Izvorni Plan
za 2023.g.</t>
  </si>
  <si>
    <t>Tekući Plan
za 2023.g.</t>
  </si>
  <si>
    <t>Izvršeno 
1.-6.2023.god.</t>
  </si>
  <si>
    <t xml:space="preserve"> 632</t>
  </si>
  <si>
    <t>POMOĆI OD MEĐ.ORGANIZAICJA TE INSTITUCIJA I TIJELA EU</t>
  </si>
  <si>
    <t xml:space="preserve"> 6321</t>
  </si>
  <si>
    <t xml:space="preserve"> Tekuće pomoći od međunarodnih organizacija</t>
  </si>
  <si>
    <t xml:space="preserve"> 6322</t>
  </si>
  <si>
    <t xml:space="preserve"> Kapitalne pomoći od međunarodnih organizacija</t>
  </si>
  <si>
    <t xml:space="preserve"> 6323</t>
  </si>
  <si>
    <t xml:space="preserve"> 6115</t>
  </si>
  <si>
    <t>Povrat poreza i prirez na dohodak po godišnjoj prijavi</t>
  </si>
  <si>
    <t xml:space="preserve"> - porez na reklamu</t>
  </si>
  <si>
    <t xml:space="preserve"> 3114</t>
  </si>
  <si>
    <t xml:space="preserve"> Plaće za posebne uvjete rada</t>
  </si>
  <si>
    <t>Izvršeno 2023.god.</t>
  </si>
  <si>
    <t>9</t>
  </si>
  <si>
    <t>Viškovi</t>
  </si>
  <si>
    <t>91</t>
  </si>
  <si>
    <t xml:space="preserve"> Viškovi Grad Hvar</t>
  </si>
  <si>
    <t>92</t>
  </si>
  <si>
    <t>Viškovi Dječji vrtič</t>
  </si>
  <si>
    <t>93</t>
  </si>
  <si>
    <t>Viškovi Gradska knjižnica</t>
  </si>
  <si>
    <t>IZVORNI PLAN
za 2023.god.</t>
  </si>
  <si>
    <t>TEKUĆI PLAN
za 2023.god.</t>
  </si>
  <si>
    <t>IZVRŠENO
u 2023.god.</t>
  </si>
  <si>
    <t xml:space="preserve">  Glava: 00104</t>
  </si>
  <si>
    <t xml:space="preserve">   USTANOVA U KULTURI HVAR 1612                </t>
  </si>
  <si>
    <t>Izvorni Plan
za 2023.god.</t>
  </si>
  <si>
    <t>Tekući Plan
za 2023.god.</t>
  </si>
  <si>
    <t>Izvršeno u 2023.god.</t>
  </si>
  <si>
    <t xml:space="preserve"> Izvor 91 (viškovi Grad)</t>
  </si>
  <si>
    <t xml:space="preserve"> Glava 00101 - Izvori 91 (viškovi Grad)</t>
  </si>
  <si>
    <t xml:space="preserve"> Program 1007: Poticaj razvoju poduzetništva i zaštita okoliša</t>
  </si>
  <si>
    <t xml:space="preserve"> T.projekt T1007 01: Subvencije u poljoprivredi i zaštita okoliša</t>
  </si>
  <si>
    <t xml:space="preserve"> Izvor 91 ( viškovi Grad)</t>
  </si>
  <si>
    <t xml:space="preserve"> Aktivnost A1009 07:  Nabava materijala i edukacija građana za 
                                           odvajanje otpada i izrada koncepta gospodarenja 
                                           otpadom na otoku Hvaru</t>
  </si>
  <si>
    <t xml:space="preserve"> Ukupni izvori Akrivnost  A1014 02</t>
  </si>
  <si>
    <t xml:space="preserve"> K.projekt K1018 05:  Izgradnja  sportske dvorane na Dolcu</t>
  </si>
  <si>
    <t xml:space="preserve">  RASHODI ZA PROIZV.DUGOTRAJNU IMOVINU</t>
  </si>
  <si>
    <t xml:space="preserve">  Ostali građevinski objekti</t>
  </si>
  <si>
    <t xml:space="preserve"> K.projekt K1019 11:  Izgradnja  nove gradske knjižnice</t>
  </si>
  <si>
    <t xml:space="preserve"> Ukupni izvori K.projekt  K1019 11</t>
  </si>
  <si>
    <t xml:space="preserve"> K.Projekt K1022 03:  Izgradnja osnovne škole i šk.igrališta</t>
  </si>
  <si>
    <t xml:space="preserve"> Aktivnost A1023 04: Pomoć udrugama invalid. i hendikep.osoba 
te u području zdr. i soc. skrbi</t>
  </si>
  <si>
    <t xml:space="preserve"> Glava 00102 - Izvori 92 (viškovi Dječji Vrtić)</t>
  </si>
  <si>
    <t xml:space="preserve"> Izvor 92 (viškovi Dječji vrtić)</t>
  </si>
  <si>
    <t xml:space="preserve"> Izvor 93 (viškovi Knjižnica)</t>
  </si>
  <si>
    <t xml:space="preserve"> GLAVA 00104:    USTANOVA U KULTURI HVAR 1612                   </t>
  </si>
  <si>
    <t xml:space="preserve"> Program 4001:   Kulturna djelatnost</t>
  </si>
  <si>
    <t xml:space="preserve"> Aktivnost A4001 01: Stručna i izvršna tijela ustanova</t>
  </si>
  <si>
    <t xml:space="preserve"> Ukupni izvori Aktivnost A4001 01</t>
  </si>
  <si>
    <t xml:space="preserve">  Smještaj i prehrana sezonskih policajaca,sudstva i zdrastveno</t>
  </si>
  <si>
    <t>/u eurima/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</si>
</sst>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"/>
    <numFmt numFmtId="167" formatCode="#,##0.00\ _k_n"/>
    <numFmt numFmtId="168" formatCode="[$-41A]d\.\ mmmm\ yyyy\."/>
  </numFmts>
  <fonts count="6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9"/>
      <name val="Algerian"/>
      <family val="5"/>
    </font>
    <font>
      <b/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8"/>
      <name val="Algerian"/>
      <family val="5"/>
    </font>
    <font>
      <sz val="7"/>
      <name val="Arial"/>
      <family val="2"/>
    </font>
    <font>
      <b/>
      <sz val="16"/>
      <name val="Algerian"/>
      <family val="5"/>
    </font>
    <font>
      <b/>
      <sz val="7"/>
      <name val="Algerian"/>
      <family val="5"/>
    </font>
    <font>
      <b/>
      <sz val="7"/>
      <name val="Arial"/>
      <family val="2"/>
    </font>
    <font>
      <sz val="9"/>
      <name val="Algerian"/>
      <family val="5"/>
    </font>
    <font>
      <b/>
      <sz val="9"/>
      <color indexed="8"/>
      <name val="Arial"/>
      <family val="2"/>
    </font>
    <font>
      <sz val="14"/>
      <name val="Algerian"/>
      <family val="5"/>
    </font>
    <font>
      <b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i/>
      <sz val="6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20" borderId="1" applyNumberFormat="0" applyFont="0" applyAlignment="0" applyProtection="0"/>
    <xf numFmtId="0" fontId="46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7" fillId="28" borderId="2" applyNumberFormat="0" applyAlignment="0" applyProtection="0"/>
    <xf numFmtId="0" fontId="48" fillId="28" borderId="3" applyNumberFormat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31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0" fontId="4" fillId="7" borderId="10" xfId="0" applyFont="1" applyFill="1" applyBorder="1" applyAlignment="1">
      <alignment vertical="center"/>
    </xf>
    <xf numFmtId="0" fontId="1" fillId="7" borderId="10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8" fillId="7" borderId="10" xfId="0" applyNumberFormat="1" applyFont="1" applyFill="1" applyBorder="1" applyAlignment="1">
      <alignment/>
    </xf>
    <xf numFmtId="49" fontId="9" fillId="0" borderId="10" xfId="0" applyNumberFormat="1" applyFont="1" applyBorder="1" applyAlignment="1">
      <alignment horizontal="left"/>
    </xf>
    <xf numFmtId="0" fontId="9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left"/>
    </xf>
    <xf numFmtId="0" fontId="8" fillId="0" borderId="10" xfId="0" applyFont="1" applyBorder="1" applyAlignment="1">
      <alignment/>
    </xf>
    <xf numFmtId="49" fontId="8" fillId="7" borderId="10" xfId="0" applyNumberFormat="1" applyFont="1" applyFill="1" applyBorder="1" applyAlignment="1">
      <alignment horizontal="left"/>
    </xf>
    <xf numFmtId="0" fontId="8" fillId="7" borderId="10" xfId="0" applyFont="1" applyFill="1" applyBorder="1" applyAlignment="1">
      <alignment/>
    </xf>
    <xf numFmtId="49" fontId="8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/>
    </xf>
    <xf numFmtId="49" fontId="8" fillId="7" borderId="10" xfId="0" applyNumberFormat="1" applyFont="1" applyFill="1" applyBorder="1" applyAlignment="1">
      <alignment/>
    </xf>
    <xf numFmtId="0" fontId="8" fillId="7" borderId="10" xfId="0" applyFont="1" applyFill="1" applyBorder="1" applyAlignment="1">
      <alignment/>
    </xf>
    <xf numFmtId="0" fontId="6" fillId="7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4" fontId="11" fillId="34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indent="1"/>
    </xf>
    <xf numFmtId="0" fontId="12" fillId="34" borderId="10" xfId="0" applyFont="1" applyFill="1" applyBorder="1" applyAlignment="1">
      <alignment vertical="center" wrapText="1"/>
    </xf>
    <xf numFmtId="0" fontId="12" fillId="34" borderId="10" xfId="0" applyFont="1" applyFill="1" applyBorder="1" applyAlignment="1">
      <alignment/>
    </xf>
    <xf numFmtId="0" fontId="11" fillId="34" borderId="10" xfId="0" applyFont="1" applyFill="1" applyBorder="1" applyAlignment="1">
      <alignment vertical="center" wrapText="1"/>
    </xf>
    <xf numFmtId="49" fontId="11" fillId="34" borderId="10" xfId="0" applyNumberFormat="1" applyFont="1" applyFill="1" applyBorder="1" applyAlignment="1">
      <alignment vertical="center"/>
    </xf>
    <xf numFmtId="49" fontId="11" fillId="34" borderId="10" xfId="0" applyNumberFormat="1" applyFont="1" applyFill="1" applyBorder="1" applyAlignment="1">
      <alignment vertical="center" wrapText="1"/>
    </xf>
    <xf numFmtId="4" fontId="11" fillId="34" borderId="10" xfId="0" applyNumberFormat="1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 vertical="center" wrapText="1"/>
    </xf>
    <xf numFmtId="3" fontId="14" fillId="0" borderId="10" xfId="0" applyNumberFormat="1" applyFont="1" applyBorder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4" fillId="7" borderId="11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4" fontId="14" fillId="0" borderId="10" xfId="0" applyNumberFormat="1" applyFont="1" applyBorder="1" applyAlignment="1">
      <alignment/>
    </xf>
    <xf numFmtId="0" fontId="14" fillId="34" borderId="11" xfId="0" applyFont="1" applyFill="1" applyBorder="1" applyAlignment="1">
      <alignment horizontal="center" vertical="center" wrapText="1"/>
    </xf>
    <xf numFmtId="4" fontId="17" fillId="7" borderId="10" xfId="0" applyNumberFormat="1" applyFont="1" applyFill="1" applyBorder="1" applyAlignment="1">
      <alignment/>
    </xf>
    <xf numFmtId="3" fontId="14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3" fontId="4" fillId="35" borderId="12" xfId="0" applyNumberFormat="1" applyFont="1" applyFill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3" fontId="4" fillId="19" borderId="13" xfId="0" applyNumberFormat="1" applyFont="1" applyFill="1" applyBorder="1" applyAlignment="1">
      <alignment vertical="center"/>
    </xf>
    <xf numFmtId="3" fontId="4" fillId="36" borderId="10" xfId="0" applyNumberFormat="1" applyFont="1" applyFill="1" applyBorder="1" applyAlignment="1">
      <alignment/>
    </xf>
    <xf numFmtId="3" fontId="4" fillId="0" borderId="12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 indent="1"/>
    </xf>
    <xf numFmtId="0" fontId="4" fillId="0" borderId="10" xfId="0" applyFont="1" applyBorder="1" applyAlignment="1">
      <alignment horizontal="left" indent="1"/>
    </xf>
    <xf numFmtId="3" fontId="4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indent="1"/>
    </xf>
    <xf numFmtId="49" fontId="2" fillId="0" borderId="10" xfId="0" applyNumberFormat="1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3" fontId="2" fillId="34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0" fontId="2" fillId="34" borderId="10" xfId="0" applyFont="1" applyFill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49" fontId="2" fillId="34" borderId="10" xfId="0" applyNumberFormat="1" applyFont="1" applyFill="1" applyBorder="1" applyAlignment="1">
      <alignment/>
    </xf>
    <xf numFmtId="49" fontId="2" fillId="0" borderId="14" xfId="0" applyNumberFormat="1" applyFont="1" applyBorder="1" applyAlignment="1">
      <alignment/>
    </xf>
    <xf numFmtId="0" fontId="2" fillId="0" borderId="10" xfId="0" applyNumberFormat="1" applyFont="1" applyBorder="1" applyAlignment="1">
      <alignment horizontal="left" indent="1"/>
    </xf>
    <xf numFmtId="3" fontId="4" fillId="13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3" fontId="21" fillId="34" borderId="12" xfId="0" applyNumberFormat="1" applyFont="1" applyFill="1" applyBorder="1" applyAlignment="1">
      <alignment vertical="center"/>
    </xf>
    <xf numFmtId="3" fontId="22" fillId="34" borderId="13" xfId="0" applyNumberFormat="1" applyFont="1" applyFill="1" applyBorder="1" applyAlignment="1">
      <alignment vertical="center"/>
    </xf>
    <xf numFmtId="3" fontId="22" fillId="34" borderId="10" xfId="0" applyNumberFormat="1" applyFont="1" applyFill="1" applyBorder="1" applyAlignment="1">
      <alignment vertical="center"/>
    </xf>
    <xf numFmtId="3" fontId="21" fillId="34" borderId="10" xfId="0" applyNumberFormat="1" applyFont="1" applyFill="1" applyBorder="1" applyAlignment="1">
      <alignment/>
    </xf>
    <xf numFmtId="3" fontId="4" fillId="7" borderId="10" xfId="0" applyNumberFormat="1" applyFont="1" applyFill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/>
    </xf>
    <xf numFmtId="4" fontId="17" fillId="0" borderId="10" xfId="0" applyNumberFormat="1" applyFont="1" applyBorder="1" applyAlignment="1">
      <alignment/>
    </xf>
    <xf numFmtId="4" fontId="14" fillId="0" borderId="12" xfId="0" applyNumberFormat="1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indent="1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indent="1"/>
    </xf>
    <xf numFmtId="0" fontId="1" fillId="0" borderId="0" xfId="0" applyFont="1" applyAlignment="1">
      <alignment/>
    </xf>
    <xf numFmtId="3" fontId="4" fillId="19" borderId="10" xfId="0" applyNumberFormat="1" applyFont="1" applyFill="1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4" fillId="7" borderId="10" xfId="0" applyNumberFormat="1" applyFont="1" applyFill="1" applyBorder="1" applyAlignment="1">
      <alignment horizontal="left" indent="1"/>
    </xf>
    <xf numFmtId="0" fontId="4" fillId="7" borderId="10" xfId="0" applyFont="1" applyFill="1" applyBorder="1" applyAlignment="1">
      <alignment horizontal="left" indent="1"/>
    </xf>
    <xf numFmtId="4" fontId="4" fillId="7" borderId="10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 horizontal="left" indent="1"/>
    </xf>
    <xf numFmtId="0" fontId="4" fillId="0" borderId="10" xfId="0" applyFont="1" applyBorder="1" applyAlignment="1">
      <alignment horizontal="left" indent="1"/>
    </xf>
    <xf numFmtId="0" fontId="0" fillId="34" borderId="11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3" fontId="1" fillId="7" borderId="10" xfId="0" applyNumberFormat="1" applyFont="1" applyFill="1" applyBorder="1" applyAlignment="1">
      <alignment/>
    </xf>
    <xf numFmtId="4" fontId="1" fillId="7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/>
    </xf>
    <xf numFmtId="4" fontId="8" fillId="7" borderId="10" xfId="0" applyNumberFormat="1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8" fillId="34" borderId="10" xfId="0" applyNumberFormat="1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8" fillId="10" borderId="10" xfId="0" applyNumberFormat="1" applyFont="1" applyFill="1" applyBorder="1" applyAlignment="1">
      <alignment/>
    </xf>
    <xf numFmtId="4" fontId="21" fillId="34" borderId="12" xfId="0" applyNumberFormat="1" applyFont="1" applyFill="1" applyBorder="1" applyAlignment="1">
      <alignment vertical="center"/>
    </xf>
    <xf numFmtId="4" fontId="22" fillId="34" borderId="13" xfId="0" applyNumberFormat="1" applyFont="1" applyFill="1" applyBorder="1" applyAlignment="1">
      <alignment vertical="center"/>
    </xf>
    <xf numFmtId="4" fontId="22" fillId="34" borderId="10" xfId="0" applyNumberFormat="1" applyFont="1" applyFill="1" applyBorder="1" applyAlignment="1">
      <alignment vertical="center"/>
    </xf>
    <xf numFmtId="4" fontId="21" fillId="34" borderId="10" xfId="0" applyNumberFormat="1" applyFont="1" applyFill="1" applyBorder="1" applyAlignment="1">
      <alignment/>
    </xf>
    <xf numFmtId="4" fontId="4" fillId="35" borderId="12" xfId="0" applyNumberFormat="1" applyFont="1" applyFill="1" applyBorder="1" applyAlignment="1">
      <alignment vertical="center"/>
    </xf>
    <xf numFmtId="4" fontId="4" fillId="19" borderId="13" xfId="0" applyNumberFormat="1" applyFont="1" applyFill="1" applyBorder="1" applyAlignment="1">
      <alignment vertical="center"/>
    </xf>
    <xf numFmtId="4" fontId="4" fillId="36" borderId="10" xfId="0" applyNumberFormat="1" applyFont="1" applyFill="1" applyBorder="1" applyAlignment="1">
      <alignment/>
    </xf>
    <xf numFmtId="4" fontId="4" fillId="0" borderId="12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2" fillId="34" borderId="10" xfId="0" applyNumberFormat="1" applyFont="1" applyFill="1" applyBorder="1" applyAlignment="1">
      <alignment/>
    </xf>
    <xf numFmtId="4" fontId="4" fillId="19" borderId="10" xfId="0" applyNumberFormat="1" applyFont="1" applyFill="1" applyBorder="1" applyAlignment="1">
      <alignment vertical="center"/>
    </xf>
    <xf numFmtId="4" fontId="4" fillId="13" borderId="10" xfId="0" applyNumberFormat="1" applyFont="1" applyFill="1" applyBorder="1" applyAlignment="1">
      <alignment/>
    </xf>
    <xf numFmtId="0" fontId="4" fillId="13" borderId="10" xfId="0" applyFont="1" applyFill="1" applyBorder="1" applyAlignment="1">
      <alignment vertical="center"/>
    </xf>
    <xf numFmtId="3" fontId="2" fillId="0" borderId="0" xfId="0" applyNumberFormat="1" applyFont="1" applyAlignment="1">
      <alignment/>
    </xf>
    <xf numFmtId="0" fontId="8" fillId="0" borderId="10" xfId="0" applyFont="1" applyBorder="1" applyAlignment="1">
      <alignment wrapText="1"/>
    </xf>
    <xf numFmtId="0" fontId="14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left" wrapText="1" indent="1"/>
    </xf>
    <xf numFmtId="0" fontId="14" fillId="0" borderId="10" xfId="0" applyFont="1" applyBorder="1" applyAlignment="1">
      <alignment horizontal="left" indent="1"/>
    </xf>
    <xf numFmtId="0" fontId="2" fillId="0" borderId="10" xfId="0" applyFont="1" applyBorder="1" applyAlignment="1">
      <alignment/>
    </xf>
    <xf numFmtId="4" fontId="2" fillId="0" borderId="0" xfId="0" applyNumberFormat="1" applyFont="1" applyAlignment="1">
      <alignment/>
    </xf>
    <xf numFmtId="4" fontId="6" fillId="7" borderId="1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4" fontId="6" fillId="34" borderId="10" xfId="0" applyNumberFormat="1" applyFont="1" applyFill="1" applyBorder="1" applyAlignment="1">
      <alignment horizontal="center" vertical="center" wrapText="1"/>
    </xf>
    <xf numFmtId="4" fontId="14" fillId="34" borderId="1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/>
    </xf>
    <xf numFmtId="4" fontId="6" fillId="34" borderId="10" xfId="0" applyNumberFormat="1" applyFont="1" applyFill="1" applyBorder="1" applyAlignment="1">
      <alignment/>
    </xf>
    <xf numFmtId="0" fontId="17" fillId="7" borderId="10" xfId="0" applyFont="1" applyFill="1" applyBorder="1" applyAlignment="1">
      <alignment/>
    </xf>
    <xf numFmtId="0" fontId="25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 wrapText="1" indent="1"/>
    </xf>
    <xf numFmtId="4" fontId="0" fillId="34" borderId="10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6" fillId="33" borderId="11" xfId="0" applyNumberFormat="1" applyFont="1" applyFill="1" applyBorder="1" applyAlignment="1">
      <alignment horizontal="center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4" fontId="6" fillId="33" borderId="11" xfId="0" applyNumberFormat="1" applyFont="1" applyFill="1" applyBorder="1" applyAlignment="1">
      <alignment horizontal="center" vertical="center" wrapText="1"/>
    </xf>
    <xf numFmtId="4" fontId="6" fillId="34" borderId="11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/>
    </xf>
    <xf numFmtId="4" fontId="8" fillId="7" borderId="10" xfId="0" applyNumberFormat="1" applyFont="1" applyFill="1" applyBorder="1" applyAlignment="1">
      <alignment/>
    </xf>
    <xf numFmtId="4" fontId="8" fillId="7" borderId="10" xfId="0" applyNumberFormat="1" applyFont="1" applyFill="1" applyBorder="1" applyAlignment="1">
      <alignment horizontal="right"/>
    </xf>
    <xf numFmtId="4" fontId="2" fillId="0" borderId="0" xfId="0" applyNumberFormat="1" applyFont="1" applyAlignment="1">
      <alignment horizontal="right"/>
    </xf>
    <xf numFmtId="4" fontId="6" fillId="34" borderId="11" xfId="0" applyNumberFormat="1" applyFont="1" applyFill="1" applyBorder="1" applyAlignment="1">
      <alignment horizontal="right" vertical="center" wrapText="1"/>
    </xf>
    <xf numFmtId="4" fontId="14" fillId="34" borderId="11" xfId="0" applyNumberFormat="1" applyFont="1" applyFill="1" applyBorder="1" applyAlignment="1">
      <alignment horizontal="right" vertical="center" wrapText="1"/>
    </xf>
    <xf numFmtId="0" fontId="2" fillId="0" borderId="1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 indent="2"/>
    </xf>
    <xf numFmtId="0" fontId="4" fillId="0" borderId="11" xfId="0" applyFont="1" applyBorder="1" applyAlignment="1">
      <alignment horizontal="left" indent="2"/>
    </xf>
    <xf numFmtId="0" fontId="14" fillId="0" borderId="15" xfId="0" applyFont="1" applyBorder="1" applyAlignment="1">
      <alignment horizontal="center"/>
    </xf>
    <xf numFmtId="0" fontId="4" fillId="10" borderId="14" xfId="0" applyFont="1" applyFill="1" applyBorder="1" applyAlignment="1">
      <alignment horizontal="left"/>
    </xf>
    <xf numFmtId="0" fontId="4" fillId="10" borderId="11" xfId="0" applyFont="1" applyFill="1" applyBorder="1" applyAlignment="1">
      <alignment horizontal="left"/>
    </xf>
    <xf numFmtId="0" fontId="4" fillId="12" borderId="14" xfId="0" applyFont="1" applyFill="1" applyBorder="1" applyAlignment="1">
      <alignment horizontal="left" indent="2"/>
    </xf>
    <xf numFmtId="0" fontId="4" fillId="12" borderId="16" xfId="0" applyFont="1" applyFill="1" applyBorder="1" applyAlignment="1">
      <alignment horizontal="left" indent="2"/>
    </xf>
    <xf numFmtId="0" fontId="4" fillId="12" borderId="11" xfId="0" applyFont="1" applyFill="1" applyBorder="1" applyAlignment="1">
      <alignment horizontal="left" indent="2"/>
    </xf>
    <xf numFmtId="0" fontId="2" fillId="0" borderId="14" xfId="0" applyFont="1" applyFill="1" applyBorder="1" applyAlignment="1">
      <alignment horizontal="left" indent="2"/>
    </xf>
    <xf numFmtId="0" fontId="2" fillId="0" borderId="11" xfId="0" applyFont="1" applyFill="1" applyBorder="1" applyAlignment="1">
      <alignment horizontal="left" indent="2"/>
    </xf>
    <xf numFmtId="0" fontId="2" fillId="0" borderId="0" xfId="0" applyFont="1" applyAlignment="1">
      <alignment horizontal="center"/>
    </xf>
    <xf numFmtId="0" fontId="1" fillId="7" borderId="14" xfId="0" applyFont="1" applyFill="1" applyBorder="1" applyAlignment="1">
      <alignment horizontal="left" vertical="center"/>
    </xf>
    <xf numFmtId="0" fontId="1" fillId="7" borderId="11" xfId="0" applyFont="1" applyFill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4" fillId="12" borderId="14" xfId="0" applyFont="1" applyFill="1" applyBorder="1" applyAlignment="1">
      <alignment horizontal="center"/>
    </xf>
    <xf numFmtId="0" fontId="4" fillId="12" borderId="16" xfId="0" applyFont="1" applyFill="1" applyBorder="1" applyAlignment="1">
      <alignment horizontal="center"/>
    </xf>
    <xf numFmtId="0" fontId="4" fillId="12" borderId="11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4" fillId="12" borderId="0" xfId="0" applyFont="1" applyFill="1" applyBorder="1" applyAlignment="1">
      <alignment horizontal="center"/>
    </xf>
    <xf numFmtId="0" fontId="4" fillId="0" borderId="14" xfId="0" applyFont="1" applyBorder="1" applyAlignment="1">
      <alignment horizontal="left" indent="2"/>
    </xf>
    <xf numFmtId="0" fontId="4" fillId="0" borderId="11" xfId="0" applyFont="1" applyBorder="1" applyAlignment="1">
      <alignment horizontal="left" indent="2"/>
    </xf>
    <xf numFmtId="0" fontId="2" fillId="0" borderId="14" xfId="0" applyFont="1" applyBorder="1" applyAlignment="1">
      <alignment horizontal="left" indent="2"/>
    </xf>
    <xf numFmtId="0" fontId="2" fillId="0" borderId="11" xfId="0" applyFont="1" applyBorder="1" applyAlignment="1">
      <alignment horizontal="left" indent="2"/>
    </xf>
    <xf numFmtId="0" fontId="2" fillId="0" borderId="17" xfId="0" applyFont="1" applyFill="1" applyBorder="1" applyAlignment="1">
      <alignment horizontal="left" indent="2"/>
    </xf>
    <xf numFmtId="0" fontId="2" fillId="0" borderId="18" xfId="0" applyFont="1" applyFill="1" applyBorder="1" applyAlignment="1">
      <alignment horizontal="left" indent="2"/>
    </xf>
    <xf numFmtId="0" fontId="8" fillId="7" borderId="14" xfId="0" applyFont="1" applyFill="1" applyBorder="1" applyAlignment="1">
      <alignment horizontal="left" indent="2"/>
    </xf>
    <xf numFmtId="0" fontId="8" fillId="7" borderId="11" xfId="0" applyFont="1" applyFill="1" applyBorder="1" applyAlignment="1">
      <alignment horizontal="left" indent="2"/>
    </xf>
    <xf numFmtId="49" fontId="0" fillId="0" borderId="14" xfId="0" applyNumberFormat="1" applyFont="1" applyBorder="1" applyAlignment="1">
      <alignment horizontal="left" indent="1"/>
    </xf>
    <xf numFmtId="49" fontId="0" fillId="0" borderId="11" xfId="0" applyNumberFormat="1" applyFont="1" applyBorder="1" applyAlignment="1">
      <alignment horizontal="left" indent="1"/>
    </xf>
    <xf numFmtId="0" fontId="1" fillId="7" borderId="14" xfId="0" applyFont="1" applyFill="1" applyBorder="1" applyAlignment="1">
      <alignment horizontal="left" indent="1"/>
    </xf>
    <xf numFmtId="0" fontId="1" fillId="7" borderId="11" xfId="0" applyFont="1" applyFill="1" applyBorder="1" applyAlignment="1">
      <alignment horizontal="left" indent="1"/>
    </xf>
    <xf numFmtId="0" fontId="13" fillId="0" borderId="0" xfId="0" applyFont="1" applyAlignment="1">
      <alignment horizontal="left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2" fillId="34" borderId="16" xfId="0" applyFont="1" applyFill="1" applyBorder="1" applyAlignment="1">
      <alignment horizontal="left" vertical="center" wrapText="1"/>
    </xf>
    <xf numFmtId="0" fontId="12" fillId="34" borderId="11" xfId="0" applyFont="1" applyFill="1" applyBorder="1" applyAlignment="1">
      <alignment horizontal="left" vertical="center" wrapText="1"/>
    </xf>
    <xf numFmtId="0" fontId="11" fillId="34" borderId="16" xfId="0" applyFont="1" applyFill="1" applyBorder="1" applyAlignment="1">
      <alignment horizontal="left" vertical="center" wrapText="1"/>
    </xf>
    <xf numFmtId="0" fontId="11" fillId="34" borderId="11" xfId="0" applyFont="1" applyFill="1" applyBorder="1" applyAlignment="1">
      <alignment horizontal="left" vertical="center" wrapText="1"/>
    </xf>
    <xf numFmtId="49" fontId="11" fillId="34" borderId="16" xfId="0" applyNumberFormat="1" applyFont="1" applyFill="1" applyBorder="1" applyAlignment="1">
      <alignment horizontal="left" vertical="center"/>
    </xf>
    <xf numFmtId="49" fontId="11" fillId="34" borderId="11" xfId="0" applyNumberFormat="1" applyFont="1" applyFill="1" applyBorder="1" applyAlignment="1">
      <alignment horizontal="left" vertical="center"/>
    </xf>
    <xf numFmtId="49" fontId="11" fillId="34" borderId="16" xfId="0" applyNumberFormat="1" applyFont="1" applyFill="1" applyBorder="1" applyAlignment="1">
      <alignment horizontal="left" vertical="center" wrapText="1"/>
    </xf>
    <xf numFmtId="49" fontId="11" fillId="34" borderId="11" xfId="0" applyNumberFormat="1" applyFont="1" applyFill="1" applyBorder="1" applyAlignment="1">
      <alignment horizontal="left" vertical="center" wrapText="1"/>
    </xf>
    <xf numFmtId="0" fontId="12" fillId="34" borderId="16" xfId="0" applyFont="1" applyFill="1" applyBorder="1" applyAlignment="1">
      <alignment horizontal="left"/>
    </xf>
    <xf numFmtId="0" fontId="12" fillId="34" borderId="11" xfId="0" applyFont="1" applyFill="1" applyBorder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left" indent="1"/>
    </xf>
    <xf numFmtId="49" fontId="2" fillId="0" borderId="11" xfId="0" applyNumberFormat="1" applyFont="1" applyBorder="1" applyAlignment="1">
      <alignment horizontal="left" indent="1"/>
    </xf>
    <xf numFmtId="49" fontId="4" fillId="19" borderId="14" xfId="0" applyNumberFormat="1" applyFont="1" applyFill="1" applyBorder="1" applyAlignment="1">
      <alignment horizontal="left" vertical="center" wrapText="1" indent="1"/>
    </xf>
    <xf numFmtId="49" fontId="4" fillId="19" borderId="11" xfId="0" applyNumberFormat="1" applyFont="1" applyFill="1" applyBorder="1" applyAlignment="1">
      <alignment horizontal="left" vertical="center" wrapText="1" indent="1"/>
    </xf>
    <xf numFmtId="0" fontId="19" fillId="37" borderId="17" xfId="0" applyFont="1" applyFill="1" applyBorder="1" applyAlignment="1">
      <alignment horizontal="left"/>
    </xf>
    <xf numFmtId="0" fontId="19" fillId="37" borderId="18" xfId="0" applyFont="1" applyFill="1" applyBorder="1" applyAlignment="1">
      <alignment horizontal="left"/>
    </xf>
    <xf numFmtId="49" fontId="4" fillId="36" borderId="14" xfId="0" applyNumberFormat="1" applyFont="1" applyFill="1" applyBorder="1" applyAlignment="1">
      <alignment horizontal="left"/>
    </xf>
    <xf numFmtId="49" fontId="4" fillId="36" borderId="11" xfId="0" applyNumberFormat="1" applyFont="1" applyFill="1" applyBorder="1" applyAlignment="1">
      <alignment horizontal="left"/>
    </xf>
    <xf numFmtId="49" fontId="4" fillId="37" borderId="14" xfId="0" applyNumberFormat="1" applyFont="1" applyFill="1" applyBorder="1" applyAlignment="1">
      <alignment horizontal="left"/>
    </xf>
    <xf numFmtId="49" fontId="4" fillId="37" borderId="11" xfId="0" applyNumberFormat="1" applyFont="1" applyFill="1" applyBorder="1" applyAlignment="1">
      <alignment horizontal="left"/>
    </xf>
    <xf numFmtId="49" fontId="4" fillId="37" borderId="14" xfId="0" applyNumberFormat="1" applyFont="1" applyFill="1" applyBorder="1" applyAlignment="1">
      <alignment wrapText="1"/>
    </xf>
    <xf numFmtId="49" fontId="4" fillId="37" borderId="11" xfId="0" applyNumberFormat="1" applyFont="1" applyFill="1" applyBorder="1" applyAlignment="1">
      <alignment/>
    </xf>
    <xf numFmtId="0" fontId="4" fillId="37" borderId="14" xfId="0" applyFont="1" applyFill="1" applyBorder="1" applyAlignment="1">
      <alignment horizontal="left"/>
    </xf>
    <xf numFmtId="0" fontId="4" fillId="37" borderId="11" xfId="0" applyFont="1" applyFill="1" applyBorder="1" applyAlignment="1">
      <alignment horizontal="left"/>
    </xf>
    <xf numFmtId="49" fontId="4" fillId="19" borderId="14" xfId="0" applyNumberFormat="1" applyFont="1" applyFill="1" applyBorder="1" applyAlignment="1">
      <alignment horizontal="left" vertical="center" indent="1"/>
    </xf>
    <xf numFmtId="49" fontId="4" fillId="19" borderId="11" xfId="0" applyNumberFormat="1" applyFont="1" applyFill="1" applyBorder="1" applyAlignment="1">
      <alignment horizontal="left" vertical="center" indent="1"/>
    </xf>
    <xf numFmtId="49" fontId="4" fillId="37" borderId="14" xfId="0" applyNumberFormat="1" applyFont="1" applyFill="1" applyBorder="1" applyAlignment="1">
      <alignment horizontal="left" wrapText="1"/>
    </xf>
    <xf numFmtId="0" fontId="4" fillId="36" borderId="14" xfId="0" applyFont="1" applyFill="1" applyBorder="1" applyAlignment="1">
      <alignment horizontal="left"/>
    </xf>
    <xf numFmtId="0" fontId="4" fillId="36" borderId="11" xfId="0" applyFont="1" applyFill="1" applyBorder="1" applyAlignment="1">
      <alignment horizontal="left"/>
    </xf>
    <xf numFmtId="0" fontId="4" fillId="35" borderId="14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49" fontId="4" fillId="37" borderId="14" xfId="0" applyNumberFormat="1" applyFont="1" applyFill="1" applyBorder="1" applyAlignment="1">
      <alignment horizontal="left" vertical="center" wrapText="1"/>
    </xf>
    <xf numFmtId="49" fontId="4" fillId="37" borderId="11" xfId="0" applyNumberFormat="1" applyFont="1" applyFill="1" applyBorder="1" applyAlignment="1">
      <alignment horizontal="left" vertical="center"/>
    </xf>
    <xf numFmtId="0" fontId="4" fillId="19" borderId="14" xfId="0" applyFont="1" applyFill="1" applyBorder="1" applyAlignment="1">
      <alignment horizontal="left" vertical="center" wrapText="1"/>
    </xf>
    <xf numFmtId="49" fontId="4" fillId="36" borderId="14" xfId="0" applyNumberFormat="1" applyFont="1" applyFill="1" applyBorder="1" applyAlignment="1">
      <alignment horizontal="left" wrapText="1"/>
    </xf>
    <xf numFmtId="49" fontId="4" fillId="36" borderId="11" xfId="0" applyNumberFormat="1" applyFont="1" applyFill="1" applyBorder="1" applyAlignment="1">
      <alignment horizontal="left" wrapText="1"/>
    </xf>
    <xf numFmtId="0" fontId="20" fillId="0" borderId="0" xfId="0" applyFont="1" applyAlignment="1">
      <alignment horizontal="left"/>
    </xf>
    <xf numFmtId="0" fontId="0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left"/>
    </xf>
    <xf numFmtId="49" fontId="19" fillId="37" borderId="14" xfId="0" applyNumberFormat="1" applyFont="1" applyFill="1" applyBorder="1" applyAlignment="1">
      <alignment horizontal="left"/>
    </xf>
    <xf numFmtId="49" fontId="19" fillId="37" borderId="11" xfId="0" applyNumberFormat="1" applyFont="1" applyFill="1" applyBorder="1" applyAlignment="1">
      <alignment horizontal="left"/>
    </xf>
    <xf numFmtId="49" fontId="4" fillId="37" borderId="11" xfId="0" applyNumberFormat="1" applyFont="1" applyFill="1" applyBorder="1" applyAlignment="1">
      <alignment horizontal="left" vertical="center" wrapText="1"/>
    </xf>
    <xf numFmtId="49" fontId="19" fillId="37" borderId="14" xfId="0" applyNumberFormat="1" applyFont="1" applyFill="1" applyBorder="1" applyAlignment="1">
      <alignment horizontal="left" vertical="center" wrapText="1"/>
    </xf>
    <xf numFmtId="49" fontId="19" fillId="37" borderId="11" xfId="0" applyNumberFormat="1" applyFont="1" applyFill="1" applyBorder="1" applyAlignment="1">
      <alignment horizontal="left" vertical="center"/>
    </xf>
    <xf numFmtId="49" fontId="4" fillId="37" borderId="11" xfId="0" applyNumberFormat="1" applyFont="1" applyFill="1" applyBorder="1" applyAlignment="1">
      <alignment horizontal="left" wrapText="1"/>
    </xf>
    <xf numFmtId="49" fontId="4" fillId="37" borderId="14" xfId="0" applyNumberFormat="1" applyFont="1" applyFill="1" applyBorder="1" applyAlignment="1">
      <alignment vertical="center" wrapText="1"/>
    </xf>
    <xf numFmtId="49" fontId="4" fillId="37" borderId="11" xfId="0" applyNumberFormat="1" applyFont="1" applyFill="1" applyBorder="1" applyAlignment="1">
      <alignment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8"/>
  <sheetViews>
    <sheetView zoomScale="140" zoomScaleNormal="140" workbookViewId="0" topLeftCell="A1">
      <selection activeCell="C1" sqref="C1"/>
    </sheetView>
  </sheetViews>
  <sheetFormatPr defaultColWidth="9.140625" defaultRowHeight="12.75"/>
  <cols>
    <col min="1" max="1" width="5.57421875" style="2" customWidth="1"/>
    <col min="2" max="2" width="38.57421875" style="2" customWidth="1"/>
    <col min="3" max="3" width="10.28125" style="145" customWidth="1"/>
    <col min="4" max="4" width="11.28125" style="145" customWidth="1"/>
    <col min="5" max="5" width="10.8515625" style="145" customWidth="1"/>
    <col min="6" max="6" width="10.00390625" style="2" customWidth="1"/>
    <col min="7" max="7" width="6.8515625" style="48" customWidth="1"/>
    <col min="8" max="8" width="5.57421875" style="48" customWidth="1"/>
    <col min="9" max="16384" width="9.140625" style="2" customWidth="1"/>
  </cols>
  <sheetData>
    <row r="1" spans="1:8" ht="33" customHeight="1">
      <c r="A1" s="10" t="s">
        <v>152</v>
      </c>
      <c r="F1" s="185" t="s">
        <v>1383</v>
      </c>
      <c r="G1" s="185"/>
      <c r="H1" s="185"/>
    </row>
    <row r="2" ht="15" customHeight="1">
      <c r="A2" s="10" t="s">
        <v>348</v>
      </c>
    </row>
    <row r="3" ht="15" customHeight="1"/>
    <row r="4" ht="25.5" customHeight="1"/>
    <row r="5" spans="1:8" ht="28.5" customHeight="1">
      <c r="A5" s="188" t="s">
        <v>1304</v>
      </c>
      <c r="B5" s="188"/>
      <c r="C5" s="188"/>
      <c r="D5" s="188"/>
      <c r="E5" s="188"/>
      <c r="F5" s="188"/>
      <c r="G5" s="188"/>
      <c r="H5" s="188"/>
    </row>
    <row r="6" spans="1:8" ht="24.75" customHeight="1">
      <c r="A6" s="188" t="s">
        <v>1384</v>
      </c>
      <c r="B6" s="188"/>
      <c r="C6" s="188"/>
      <c r="D6" s="188"/>
      <c r="E6" s="188"/>
      <c r="F6" s="188"/>
      <c r="G6" s="188"/>
      <c r="H6" s="188"/>
    </row>
    <row r="7" spans="1:8" ht="16.5" customHeight="1">
      <c r="A7" s="196"/>
      <c r="B7" s="196"/>
      <c r="C7" s="196"/>
      <c r="D7" s="196"/>
      <c r="E7" s="196"/>
      <c r="F7" s="11"/>
      <c r="G7" s="49"/>
      <c r="H7" s="49"/>
    </row>
    <row r="8" spans="1:2" ht="18" customHeight="1">
      <c r="A8" s="8"/>
      <c r="B8" s="8"/>
    </row>
    <row r="9" ht="32.25" customHeight="1">
      <c r="A9" s="1" t="s">
        <v>881</v>
      </c>
    </row>
    <row r="13" spans="7:8" ht="12">
      <c r="G13" s="177" t="s">
        <v>1441</v>
      </c>
      <c r="H13" s="177"/>
    </row>
    <row r="14" spans="1:8" ht="27" customHeight="1">
      <c r="A14" s="186" t="s">
        <v>243</v>
      </c>
      <c r="B14" s="187"/>
      <c r="C14" s="146" t="s">
        <v>1385</v>
      </c>
      <c r="D14" s="146" t="s">
        <v>1387</v>
      </c>
      <c r="E14" s="146" t="s">
        <v>1388</v>
      </c>
      <c r="F14" s="33" t="s">
        <v>1389</v>
      </c>
      <c r="G14" s="50" t="s">
        <v>729</v>
      </c>
      <c r="H14" s="50" t="s">
        <v>730</v>
      </c>
    </row>
    <row r="15" spans="1:8" ht="11.25" customHeight="1">
      <c r="A15" s="192">
        <v>1</v>
      </c>
      <c r="B15" s="193"/>
      <c r="C15" s="162">
        <v>2</v>
      </c>
      <c r="D15" s="165">
        <v>3</v>
      </c>
      <c r="E15" s="165">
        <v>4</v>
      </c>
      <c r="F15" s="17">
        <v>5</v>
      </c>
      <c r="G15" s="51">
        <v>6</v>
      </c>
      <c r="H15" s="51">
        <v>7</v>
      </c>
    </row>
    <row r="16" spans="1:8" ht="18" customHeight="1">
      <c r="A16" s="200" t="s">
        <v>778</v>
      </c>
      <c r="B16" s="201"/>
      <c r="C16" s="118">
        <f>C45</f>
        <v>2316573.510724924</v>
      </c>
      <c r="D16" s="118">
        <f>D45</f>
        <v>8163826</v>
      </c>
      <c r="E16" s="118">
        <f>E45</f>
        <v>8163826</v>
      </c>
      <c r="F16" s="118">
        <f>F45</f>
        <v>2877022.83</v>
      </c>
      <c r="G16" s="52">
        <f>F16/C16*100</f>
        <v>124.19302977783317</v>
      </c>
      <c r="H16" s="52">
        <f aca="true" t="shared" si="0" ref="H16:H24">F16/E16*100</f>
        <v>35.24110913191927</v>
      </c>
    </row>
    <row r="17" spans="1:8" ht="18" customHeight="1">
      <c r="A17" s="200" t="s">
        <v>779</v>
      </c>
      <c r="B17" s="201"/>
      <c r="C17" s="118">
        <f>C190</f>
        <v>5947.050235582985</v>
      </c>
      <c r="D17" s="118">
        <f>D190</f>
        <v>600</v>
      </c>
      <c r="E17" s="118">
        <f>E190</f>
        <v>600</v>
      </c>
      <c r="F17" s="118">
        <f>F190</f>
        <v>898.0500000000001</v>
      </c>
      <c r="G17" s="52">
        <f aca="true" t="shared" si="1" ref="G17:G24">F17/C17*100</f>
        <v>15.100763646264456</v>
      </c>
      <c r="H17" s="52">
        <f t="shared" si="0"/>
        <v>149.675</v>
      </c>
    </row>
    <row r="18" spans="1:8" ht="18" customHeight="1">
      <c r="A18" s="175" t="s">
        <v>780</v>
      </c>
      <c r="B18" s="176"/>
      <c r="C18" s="117">
        <f>SUM(C16:C17)</f>
        <v>2322520.560960507</v>
      </c>
      <c r="D18" s="117">
        <f>SUM(D16:D17)</f>
        <v>8164426</v>
      </c>
      <c r="E18" s="117">
        <f>SUM(E16:E17)</f>
        <v>8164426</v>
      </c>
      <c r="F18" s="117">
        <f>SUM(F16:F17)</f>
        <v>2877920.88</v>
      </c>
      <c r="G18" s="52">
        <f t="shared" si="1"/>
        <v>123.91368792919535</v>
      </c>
      <c r="H18" s="52">
        <f t="shared" si="0"/>
        <v>35.24951882716556</v>
      </c>
    </row>
    <row r="19" spans="1:8" ht="12" customHeight="1">
      <c r="A19" s="189"/>
      <c r="B19" s="190"/>
      <c r="C19" s="190"/>
      <c r="D19" s="190"/>
      <c r="E19" s="190"/>
      <c r="F19" s="190"/>
      <c r="G19" s="190"/>
      <c r="H19" s="191"/>
    </row>
    <row r="20" spans="1:8" ht="18" customHeight="1">
      <c r="A20" s="200" t="s">
        <v>781</v>
      </c>
      <c r="B20" s="201"/>
      <c r="C20" s="118">
        <f>C221</f>
        <v>1681342.2602694272</v>
      </c>
      <c r="D20" s="118">
        <f>D221</f>
        <v>6676958</v>
      </c>
      <c r="E20" s="118">
        <f>E221</f>
        <v>6676958</v>
      </c>
      <c r="F20" s="118">
        <f>F221</f>
        <v>2261831.66</v>
      </c>
      <c r="G20" s="52">
        <f t="shared" si="1"/>
        <v>134.52535592827795</v>
      </c>
      <c r="H20" s="52">
        <f t="shared" si="0"/>
        <v>33.875181781883306</v>
      </c>
    </row>
    <row r="21" spans="1:8" ht="18" customHeight="1">
      <c r="A21" s="200" t="s">
        <v>782</v>
      </c>
      <c r="B21" s="201"/>
      <c r="C21" s="118">
        <f>C302</f>
        <v>585937.9056340832</v>
      </c>
      <c r="D21" s="118">
        <f>D302</f>
        <v>4311377</v>
      </c>
      <c r="E21" s="118">
        <f>E302</f>
        <v>4311377</v>
      </c>
      <c r="F21" s="118">
        <f>F302</f>
        <v>386068.25999999995</v>
      </c>
      <c r="G21" s="52">
        <f t="shared" si="1"/>
        <v>65.8889374262635</v>
      </c>
      <c r="H21" s="52">
        <f t="shared" si="0"/>
        <v>8.954639318250294</v>
      </c>
    </row>
    <row r="22" spans="1:8" ht="18" customHeight="1">
      <c r="A22" s="175" t="s">
        <v>783</v>
      </c>
      <c r="B22" s="176"/>
      <c r="C22" s="117">
        <f>SUM(C20:C21)</f>
        <v>2267280.1659035105</v>
      </c>
      <c r="D22" s="117">
        <f>SUM(D20:D21)</f>
        <v>10988335</v>
      </c>
      <c r="E22" s="117">
        <f>SUM(E20:E21)</f>
        <v>10988335</v>
      </c>
      <c r="F22" s="117">
        <f>SUM(F20:F21)</f>
        <v>2647899.92</v>
      </c>
      <c r="G22" s="52">
        <f t="shared" si="1"/>
        <v>116.7875042449733</v>
      </c>
      <c r="H22" s="52">
        <f t="shared" si="0"/>
        <v>24.097371621815316</v>
      </c>
    </row>
    <row r="23" spans="1:8" ht="12" customHeight="1">
      <c r="A23" s="189"/>
      <c r="B23" s="190"/>
      <c r="C23" s="190"/>
      <c r="D23" s="190"/>
      <c r="E23" s="190"/>
      <c r="F23" s="190"/>
      <c r="G23" s="190"/>
      <c r="H23" s="191"/>
    </row>
    <row r="24" spans="1:8" ht="18" customHeight="1">
      <c r="A24" s="198" t="s">
        <v>784</v>
      </c>
      <c r="B24" s="199"/>
      <c r="C24" s="120">
        <f>C18-C22</f>
        <v>55240.395056996495</v>
      </c>
      <c r="D24" s="120">
        <f>D18-D22</f>
        <v>-2823909</v>
      </c>
      <c r="E24" s="120">
        <f>E18-E22</f>
        <v>-2823909</v>
      </c>
      <c r="F24" s="120">
        <f>F18-F22</f>
        <v>230020.95999999996</v>
      </c>
      <c r="G24" s="92">
        <f t="shared" si="1"/>
        <v>416.3999185064962</v>
      </c>
      <c r="H24" s="92">
        <f t="shared" si="0"/>
        <v>-8.145480608617344</v>
      </c>
    </row>
    <row r="25" spans="1:8" ht="12" customHeight="1">
      <c r="A25" s="197"/>
      <c r="B25" s="197"/>
      <c r="C25" s="197"/>
      <c r="D25" s="197"/>
      <c r="E25" s="197"/>
      <c r="F25" s="197"/>
      <c r="G25" s="197"/>
      <c r="H25" s="197"/>
    </row>
    <row r="26" spans="1:8" ht="18" customHeight="1">
      <c r="A26" s="180" t="s">
        <v>777</v>
      </c>
      <c r="B26" s="181"/>
      <c r="C26" s="181"/>
      <c r="D26" s="181"/>
      <c r="E26" s="181"/>
      <c r="F26" s="181"/>
      <c r="G26" s="181"/>
      <c r="H26" s="182"/>
    </row>
    <row r="27" spans="1:8" ht="18" customHeight="1">
      <c r="A27" s="202" t="s">
        <v>792</v>
      </c>
      <c r="B27" s="203"/>
      <c r="C27" s="121">
        <f>19605599.39/7.5345</f>
        <v>2602110.2116928794</v>
      </c>
      <c r="D27" s="121">
        <v>4785944.6</v>
      </c>
      <c r="E27" s="121">
        <v>4785944.6</v>
      </c>
      <c r="F27" s="121">
        <v>4785944.6</v>
      </c>
      <c r="G27" s="93">
        <f>F27/C27*100</f>
        <v>183.9255147031748</v>
      </c>
      <c r="H27" s="93">
        <f>F27/E27*100</f>
        <v>100</v>
      </c>
    </row>
    <row r="28" spans="1:8" ht="18" customHeight="1">
      <c r="A28" s="183" t="s">
        <v>785</v>
      </c>
      <c r="B28" s="184"/>
      <c r="C28" s="118">
        <v>0</v>
      </c>
      <c r="D28" s="118">
        <v>3513474</v>
      </c>
      <c r="E28" s="118">
        <v>3513474</v>
      </c>
      <c r="F28" s="118">
        <v>0</v>
      </c>
      <c r="G28" s="52" t="e">
        <f>F28/C28*100</f>
        <v>#DIV/0!</v>
      </c>
      <c r="H28" s="52">
        <f>F28/E28*100</f>
        <v>0</v>
      </c>
    </row>
    <row r="29" ht="21.75" customHeight="1"/>
    <row r="30" spans="1:8" ht="27" customHeight="1">
      <c r="A30" s="15" t="s">
        <v>242</v>
      </c>
      <c r="B30" s="16"/>
      <c r="C30" s="146" t="s">
        <v>1385</v>
      </c>
      <c r="D30" s="146" t="s">
        <v>1387</v>
      </c>
      <c r="E30" s="146" t="s">
        <v>1388</v>
      </c>
      <c r="F30" s="33" t="s">
        <v>1389</v>
      </c>
      <c r="G30" s="50" t="s">
        <v>729</v>
      </c>
      <c r="H30" s="50" t="s">
        <v>730</v>
      </c>
    </row>
    <row r="31" spans="1:8" ht="18" customHeight="1">
      <c r="A31" s="183" t="s">
        <v>786</v>
      </c>
      <c r="B31" s="184"/>
      <c r="C31" s="118">
        <f>508933.98/7.5345</f>
        <v>67547.14712323312</v>
      </c>
      <c r="D31" s="118">
        <f>D204</f>
        <v>0</v>
      </c>
      <c r="E31" s="118">
        <f>E204</f>
        <v>0</v>
      </c>
      <c r="F31" s="118">
        <f>F204</f>
        <v>0</v>
      </c>
      <c r="G31" s="52">
        <f aca="true" t="shared" si="2" ref="G31:G38">F31/C31*100</f>
        <v>0</v>
      </c>
      <c r="H31" s="52" t="e">
        <f>F31/E31*100</f>
        <v>#DIV/0!</v>
      </c>
    </row>
    <row r="32" spans="1:8" ht="18" customHeight="1">
      <c r="A32" s="183" t="s">
        <v>787</v>
      </c>
      <c r="B32" s="184"/>
      <c r="C32" s="118">
        <v>0</v>
      </c>
      <c r="D32" s="118">
        <v>689545</v>
      </c>
      <c r="E32" s="118">
        <v>689545</v>
      </c>
      <c r="F32" s="118">
        <v>18899.4</v>
      </c>
      <c r="G32" s="52" t="e">
        <f t="shared" si="2"/>
        <v>#DIV/0!</v>
      </c>
      <c r="H32" s="52">
        <f>F32/E32*100</f>
        <v>2.7408508509234353</v>
      </c>
    </row>
    <row r="33" spans="1:8" ht="18" customHeight="1">
      <c r="A33" s="175" t="s">
        <v>788</v>
      </c>
      <c r="B33" s="176"/>
      <c r="C33" s="117">
        <f>0-C32</f>
        <v>0</v>
      </c>
      <c r="D33" s="117">
        <f>D31-D32</f>
        <v>-689545</v>
      </c>
      <c r="E33" s="117">
        <f>E31-E32</f>
        <v>-689545</v>
      </c>
      <c r="F33" s="117">
        <f>0-F32</f>
        <v>-18899.4</v>
      </c>
      <c r="G33" s="52" t="e">
        <f t="shared" si="2"/>
        <v>#DIV/0!</v>
      </c>
      <c r="H33" s="52">
        <f>F33/E33*100</f>
        <v>2.7408508509234353</v>
      </c>
    </row>
    <row r="34" spans="3:6" ht="26.25" customHeight="1">
      <c r="C34" s="147"/>
      <c r="D34" s="147"/>
      <c r="E34" s="147"/>
      <c r="F34" s="35"/>
    </row>
    <row r="35" spans="1:8" ht="21" customHeight="1">
      <c r="A35" s="178" t="s">
        <v>244</v>
      </c>
      <c r="B35" s="179"/>
      <c r="C35" s="122">
        <f>C18+C31</f>
        <v>2390067.70808374</v>
      </c>
      <c r="D35" s="122">
        <f>D18+D31</f>
        <v>8164426</v>
      </c>
      <c r="E35" s="122">
        <f>E18+E31</f>
        <v>8164426</v>
      </c>
      <c r="F35" s="122">
        <f>F18+F31</f>
        <v>2877920.88</v>
      </c>
      <c r="G35" s="52">
        <f t="shared" si="2"/>
        <v>120.41168834950709</v>
      </c>
      <c r="H35" s="52">
        <f>F35/E35*100</f>
        <v>35.24951882716556</v>
      </c>
    </row>
    <row r="36" spans="1:8" ht="21" customHeight="1">
      <c r="A36" s="178" t="s">
        <v>245</v>
      </c>
      <c r="B36" s="179"/>
      <c r="C36" s="122">
        <f>C22+C32</f>
        <v>2267280.1659035105</v>
      </c>
      <c r="D36" s="122">
        <f>D22+D32</f>
        <v>11677880</v>
      </c>
      <c r="E36" s="122">
        <f>E22+E32</f>
        <v>11677880</v>
      </c>
      <c r="F36" s="122">
        <f>F22+F32</f>
        <v>2666799.32</v>
      </c>
      <c r="G36" s="52">
        <f t="shared" si="2"/>
        <v>117.62107568815965</v>
      </c>
      <c r="H36" s="52">
        <f>F36/E36*100</f>
        <v>22.836330909377388</v>
      </c>
    </row>
    <row r="37" spans="1:8" ht="21" customHeight="1">
      <c r="A37" s="173" t="s">
        <v>246</v>
      </c>
      <c r="B37" s="174"/>
      <c r="C37" s="118">
        <f>C35-C36</f>
        <v>122787.54218022944</v>
      </c>
      <c r="D37" s="118">
        <f>D35-D36</f>
        <v>-3513454</v>
      </c>
      <c r="E37" s="118">
        <f>E35-E36</f>
        <v>-3513454</v>
      </c>
      <c r="F37" s="118">
        <f>F35-F36</f>
        <v>211121.56000000006</v>
      </c>
      <c r="G37" s="52">
        <f t="shared" si="2"/>
        <v>171.9405374937081</v>
      </c>
      <c r="H37" s="52">
        <f>F37/E37*100</f>
        <v>-6.008946182303798</v>
      </c>
    </row>
    <row r="38" spans="1:8" ht="21" customHeight="1">
      <c r="A38" s="194" t="s">
        <v>573</v>
      </c>
      <c r="B38" s="195"/>
      <c r="C38" s="117">
        <v>0</v>
      </c>
      <c r="D38" s="117">
        <v>3513474</v>
      </c>
      <c r="E38" s="117">
        <v>3513474</v>
      </c>
      <c r="F38" s="117">
        <v>0</v>
      </c>
      <c r="G38" s="52" t="e">
        <f t="shared" si="2"/>
        <v>#DIV/0!</v>
      </c>
      <c r="H38" s="52">
        <f>F38/E38*100</f>
        <v>0</v>
      </c>
    </row>
    <row r="39" spans="1:8" ht="21" customHeight="1">
      <c r="A39" s="173" t="s">
        <v>789</v>
      </c>
      <c r="B39" s="174"/>
      <c r="C39" s="118">
        <f>C35-C36+C27</f>
        <v>2724897.753873109</v>
      </c>
      <c r="D39" s="118">
        <f>D35-D36+D27</f>
        <v>1272490.5999999996</v>
      </c>
      <c r="E39" s="118">
        <f>E35-E36+E27</f>
        <v>1272490.5999999996</v>
      </c>
      <c r="F39" s="118">
        <f>F35-F36+F27</f>
        <v>4997066.16</v>
      </c>
      <c r="G39" s="52"/>
      <c r="H39" s="52"/>
    </row>
    <row r="40" ht="20.25" customHeight="1"/>
    <row r="41" spans="1:2" ht="28.5" customHeight="1">
      <c r="A41" s="99" t="s">
        <v>889</v>
      </c>
      <c r="B41" s="12"/>
    </row>
    <row r="42" spans="3:8" ht="22.5" customHeight="1">
      <c r="C42" s="148"/>
      <c r="D42" s="148"/>
      <c r="E42" s="148"/>
      <c r="F42" s="8"/>
      <c r="G42" s="177"/>
      <c r="H42" s="177"/>
    </row>
    <row r="43" spans="1:8" ht="27" customHeight="1">
      <c r="A43" s="90" t="s">
        <v>790</v>
      </c>
      <c r="B43" s="90" t="s">
        <v>883</v>
      </c>
      <c r="C43" s="149" t="s">
        <v>1386</v>
      </c>
      <c r="D43" s="166" t="s">
        <v>1387</v>
      </c>
      <c r="E43" s="166" t="s">
        <v>1388</v>
      </c>
      <c r="F43" s="46" t="s">
        <v>1389</v>
      </c>
      <c r="G43" s="53" t="s">
        <v>793</v>
      </c>
      <c r="H43" s="53" t="s">
        <v>794</v>
      </c>
    </row>
    <row r="44" spans="1:8" s="48" customFormat="1" ht="9.75" customHeight="1">
      <c r="A44" s="94">
        <v>1</v>
      </c>
      <c r="B44" s="94">
        <v>2</v>
      </c>
      <c r="C44" s="163">
        <v>3</v>
      </c>
      <c r="D44" s="150">
        <v>4</v>
      </c>
      <c r="E44" s="150">
        <v>5</v>
      </c>
      <c r="F44" s="53">
        <v>6</v>
      </c>
      <c r="G44" s="53">
        <v>7</v>
      </c>
      <c r="H44" s="53">
        <v>8</v>
      </c>
    </row>
    <row r="45" spans="1:8" ht="24" customHeight="1">
      <c r="A45" s="26" t="s">
        <v>402</v>
      </c>
      <c r="B45" s="27" t="s">
        <v>247</v>
      </c>
      <c r="C45" s="116">
        <f>C46+C66+C104+C132+C162+C183</f>
        <v>2316573.510724924</v>
      </c>
      <c r="D45" s="116">
        <f>D46+D66+D104+D132+D162+D183</f>
        <v>8163826</v>
      </c>
      <c r="E45" s="116">
        <f>E46+E66+E104+E132+E162+E183</f>
        <v>8163826</v>
      </c>
      <c r="F45" s="116">
        <f>F46+F66+F104+F132+F162+F183</f>
        <v>2877022.83</v>
      </c>
      <c r="G45" s="54">
        <f>F45/C45*100</f>
        <v>124.19302977783317</v>
      </c>
      <c r="H45" s="54">
        <f>F45/E45*100</f>
        <v>35.24110913191927</v>
      </c>
    </row>
    <row r="46" spans="1:8" ht="21" customHeight="1">
      <c r="A46" s="24" t="s">
        <v>403</v>
      </c>
      <c r="B46" s="25" t="s">
        <v>173</v>
      </c>
      <c r="C46" s="117">
        <f>C47+C54+C60</f>
        <v>1095709.9608467713</v>
      </c>
      <c r="D46" s="117">
        <v>3922964</v>
      </c>
      <c r="E46" s="117">
        <v>3922964</v>
      </c>
      <c r="F46" s="117">
        <f>F47+F54+F60</f>
        <v>1482218.9300000002</v>
      </c>
      <c r="G46" s="52">
        <f>F46/C46*100</f>
        <v>135.27475180151984</v>
      </c>
      <c r="H46" s="52">
        <f>F46/E46*100</f>
        <v>37.783138718581164</v>
      </c>
    </row>
    <row r="47" spans="1:8" ht="18" customHeight="1">
      <c r="A47" s="24" t="s">
        <v>404</v>
      </c>
      <c r="B47" s="25" t="s">
        <v>174</v>
      </c>
      <c r="C47" s="117">
        <f>SUM(C48:C53)</f>
        <v>510614.26902913256</v>
      </c>
      <c r="D47" s="117">
        <f>SUM(D48:D53)</f>
        <v>0</v>
      </c>
      <c r="E47" s="117">
        <f>SUM(E48:E53)</f>
        <v>0</v>
      </c>
      <c r="F47" s="117">
        <f>SUM(F48:F53)</f>
        <v>981340.45</v>
      </c>
      <c r="G47" s="52">
        <f aca="true" t="shared" si="3" ref="G47:G108">F47/C47*100</f>
        <v>192.18821516012326</v>
      </c>
      <c r="H47" s="52" t="e">
        <f>F47/E47*100</f>
        <v>#DIV/0!</v>
      </c>
    </row>
    <row r="48" spans="1:8" ht="15" customHeight="1">
      <c r="A48" s="18" t="s">
        <v>405</v>
      </c>
      <c r="B48" s="19" t="s">
        <v>175</v>
      </c>
      <c r="C48" s="118">
        <f>2529338.33/7.5345</f>
        <v>335700.8865883602</v>
      </c>
      <c r="D48" s="118">
        <v>0</v>
      </c>
      <c r="E48" s="118">
        <v>0</v>
      </c>
      <c r="F48" s="118">
        <v>472690.17</v>
      </c>
      <c r="G48" s="52">
        <f t="shared" si="3"/>
        <v>140.80694716175043</v>
      </c>
      <c r="H48" s="52" t="e">
        <f>F48/E48*100</f>
        <v>#DIV/0!</v>
      </c>
    </row>
    <row r="49" spans="1:8" ht="15" customHeight="1">
      <c r="A49" s="18" t="s">
        <v>406</v>
      </c>
      <c r="B49" s="19" t="s">
        <v>176</v>
      </c>
      <c r="C49" s="118">
        <f>571077.32/7.5345</f>
        <v>75794.98573229808</v>
      </c>
      <c r="D49" s="118">
        <v>0</v>
      </c>
      <c r="E49" s="118">
        <v>0</v>
      </c>
      <c r="F49" s="118">
        <v>140801.43</v>
      </c>
      <c r="G49" s="52">
        <f t="shared" si="3"/>
        <v>185.76615410589235</v>
      </c>
      <c r="H49" s="52" t="e">
        <f>F49/E49*100</f>
        <v>#DIV/0!</v>
      </c>
    </row>
    <row r="50" spans="1:8" ht="15" customHeight="1">
      <c r="A50" s="18" t="s">
        <v>407</v>
      </c>
      <c r="B50" s="19" t="s">
        <v>177</v>
      </c>
      <c r="C50" s="118">
        <f>1149444.47/7.5345</f>
        <v>152557.49817506137</v>
      </c>
      <c r="D50" s="118">
        <v>0</v>
      </c>
      <c r="E50" s="118">
        <v>0</v>
      </c>
      <c r="F50" s="118">
        <v>184140.57</v>
      </c>
      <c r="G50" s="52">
        <f t="shared" si="3"/>
        <v>120.70240545548062</v>
      </c>
      <c r="H50" s="52" t="e">
        <f aca="true" t="shared" si="4" ref="H50:H108">F50/E50*100</f>
        <v>#DIV/0!</v>
      </c>
    </row>
    <row r="51" spans="1:8" ht="15" customHeight="1">
      <c r="A51" s="18" t="s">
        <v>408</v>
      </c>
      <c r="B51" s="19" t="s">
        <v>521</v>
      </c>
      <c r="C51" s="118">
        <f>101256.94/7.5345</f>
        <v>13439.105448271284</v>
      </c>
      <c r="D51" s="118">
        <v>0</v>
      </c>
      <c r="E51" s="118">
        <v>0</v>
      </c>
      <c r="F51" s="118">
        <v>49713.65</v>
      </c>
      <c r="G51" s="52">
        <f t="shared" si="3"/>
        <v>369.91785049498833</v>
      </c>
      <c r="H51" s="52" t="e">
        <f t="shared" si="4"/>
        <v>#DIV/0!</v>
      </c>
    </row>
    <row r="52" spans="1:8" ht="15" customHeight="1">
      <c r="A52" s="18" t="s">
        <v>1397</v>
      </c>
      <c r="B52" s="19" t="s">
        <v>178</v>
      </c>
      <c r="C52" s="118">
        <f>-503893.85/7.5345</f>
        <v>-66878.20691485831</v>
      </c>
      <c r="D52" s="118">
        <v>0</v>
      </c>
      <c r="E52" s="118">
        <v>0</v>
      </c>
      <c r="F52" s="118">
        <v>343858.7</v>
      </c>
      <c r="G52" s="52">
        <f t="shared" si="3"/>
        <v>-514.1565778486879</v>
      </c>
      <c r="H52" s="52" t="e">
        <f t="shared" si="4"/>
        <v>#DIV/0!</v>
      </c>
    </row>
    <row r="53" spans="1:8" ht="15" customHeight="1">
      <c r="A53" s="18" t="s">
        <v>1151</v>
      </c>
      <c r="B53" s="19" t="s">
        <v>1398</v>
      </c>
      <c r="C53" s="118">
        <v>0</v>
      </c>
      <c r="D53" s="118">
        <v>0</v>
      </c>
      <c r="E53" s="118">
        <v>0</v>
      </c>
      <c r="F53" s="118">
        <v>-209864.07</v>
      </c>
      <c r="G53" s="52" t="e">
        <f t="shared" si="3"/>
        <v>#DIV/0!</v>
      </c>
      <c r="H53" s="52" t="e">
        <f>F53/E53*100</f>
        <v>#DIV/0!</v>
      </c>
    </row>
    <row r="54" spans="1:8" ht="18" customHeight="1">
      <c r="A54" s="24" t="s">
        <v>409</v>
      </c>
      <c r="B54" s="25" t="s">
        <v>179</v>
      </c>
      <c r="C54" s="117">
        <f>C55+C58</f>
        <v>549232.4878890436</v>
      </c>
      <c r="D54" s="117">
        <f>D55+D58</f>
        <v>0</v>
      </c>
      <c r="E54" s="117">
        <f>E55+E58</f>
        <v>0</v>
      </c>
      <c r="F54" s="117">
        <f>F55+F58</f>
        <v>450102.38</v>
      </c>
      <c r="G54" s="52">
        <f t="shared" si="3"/>
        <v>81.95115728313034</v>
      </c>
      <c r="H54" s="52" t="e">
        <f t="shared" si="4"/>
        <v>#DIV/0!</v>
      </c>
    </row>
    <row r="55" spans="1:8" ht="15" customHeight="1">
      <c r="A55" s="18" t="s">
        <v>410</v>
      </c>
      <c r="B55" s="19" t="s">
        <v>180</v>
      </c>
      <c r="C55" s="118">
        <f>SUM(C56:C57)</f>
        <v>56661.71212422855</v>
      </c>
      <c r="D55" s="118">
        <v>0</v>
      </c>
      <c r="E55" s="118">
        <v>0</v>
      </c>
      <c r="F55" s="118">
        <f>SUM(F56:F57)</f>
        <v>103689.5</v>
      </c>
      <c r="G55" s="52">
        <f t="shared" si="3"/>
        <v>182.99747062472255</v>
      </c>
      <c r="H55" s="52" t="e">
        <f t="shared" si="4"/>
        <v>#DIV/0!</v>
      </c>
    </row>
    <row r="56" spans="1:8" ht="13.5" customHeight="1">
      <c r="A56" s="22" t="s">
        <v>411</v>
      </c>
      <c r="B56" s="23" t="s">
        <v>248</v>
      </c>
      <c r="C56" s="118">
        <f>93328.67/7.5345</f>
        <v>12386.843188001858</v>
      </c>
      <c r="D56" s="118">
        <v>0</v>
      </c>
      <c r="E56" s="118">
        <v>0</v>
      </c>
      <c r="F56" s="118">
        <v>9304.59</v>
      </c>
      <c r="G56" s="52">
        <f t="shared" si="3"/>
        <v>75.11671746206177</v>
      </c>
      <c r="H56" s="52" t="e">
        <f t="shared" si="4"/>
        <v>#DIV/0!</v>
      </c>
    </row>
    <row r="57" spans="1:8" ht="12.75" customHeight="1">
      <c r="A57" s="22" t="s">
        <v>412</v>
      </c>
      <c r="B57" s="23" t="s">
        <v>249</v>
      </c>
      <c r="C57" s="118">
        <f>333589/7.5345</f>
        <v>44274.86893622669</v>
      </c>
      <c r="D57" s="118">
        <v>0</v>
      </c>
      <c r="E57" s="118">
        <v>0</v>
      </c>
      <c r="F57" s="118">
        <v>94384.91</v>
      </c>
      <c r="G57" s="52">
        <f t="shared" si="3"/>
        <v>213.1794227012881</v>
      </c>
      <c r="H57" s="52" t="e">
        <f t="shared" si="4"/>
        <v>#DIV/0!</v>
      </c>
    </row>
    <row r="58" spans="1:8" ht="15" customHeight="1">
      <c r="A58" s="18" t="s">
        <v>413</v>
      </c>
      <c r="B58" s="19" t="s">
        <v>181</v>
      </c>
      <c r="C58" s="118">
        <f>SUM(C59)</f>
        <v>492570.7757648151</v>
      </c>
      <c r="D58" s="118">
        <v>0</v>
      </c>
      <c r="E58" s="118">
        <v>0</v>
      </c>
      <c r="F58" s="118">
        <f>SUM(F59)</f>
        <v>346412.88</v>
      </c>
      <c r="G58" s="52">
        <f t="shared" si="3"/>
        <v>70.3275340405903</v>
      </c>
      <c r="H58" s="52" t="e">
        <f t="shared" si="4"/>
        <v>#DIV/0!</v>
      </c>
    </row>
    <row r="59" spans="1:8" ht="12.75" customHeight="1">
      <c r="A59" s="22" t="s">
        <v>414</v>
      </c>
      <c r="B59" s="23" t="s">
        <v>250</v>
      </c>
      <c r="C59" s="118">
        <f>3711274.51/7.5345</f>
        <v>492570.7757648151</v>
      </c>
      <c r="D59" s="118">
        <v>0</v>
      </c>
      <c r="E59" s="118">
        <v>0</v>
      </c>
      <c r="F59" s="118">
        <v>346412.88</v>
      </c>
      <c r="G59" s="52">
        <f t="shared" si="3"/>
        <v>70.3275340405903</v>
      </c>
      <c r="H59" s="52" t="e">
        <f t="shared" si="4"/>
        <v>#DIV/0!</v>
      </c>
    </row>
    <row r="60" spans="1:8" ht="18" customHeight="1">
      <c r="A60" s="24" t="s">
        <v>415</v>
      </c>
      <c r="B60" s="25" t="s">
        <v>182</v>
      </c>
      <c r="C60" s="117">
        <f>C61+C63</f>
        <v>35863.203928595125</v>
      </c>
      <c r="D60" s="117">
        <f>D61+D63</f>
        <v>0</v>
      </c>
      <c r="E60" s="117">
        <f>E61+E63</f>
        <v>0</v>
      </c>
      <c r="F60" s="117">
        <f>F61+F63</f>
        <v>50776.1</v>
      </c>
      <c r="G60" s="52">
        <f t="shared" si="3"/>
        <v>141.58272111185872</v>
      </c>
      <c r="H60" s="52" t="e">
        <f t="shared" si="4"/>
        <v>#DIV/0!</v>
      </c>
    </row>
    <row r="61" spans="1:8" ht="15" customHeight="1">
      <c r="A61" s="18" t="s">
        <v>416</v>
      </c>
      <c r="B61" s="19" t="s">
        <v>183</v>
      </c>
      <c r="C61" s="118">
        <f>SUM(C62)</f>
        <v>35445.4495985135</v>
      </c>
      <c r="D61" s="118">
        <v>0</v>
      </c>
      <c r="E61" s="118">
        <v>0</v>
      </c>
      <c r="F61" s="118">
        <f>SUM(F62)</f>
        <v>50715.76</v>
      </c>
      <c r="G61" s="52">
        <f t="shared" si="3"/>
        <v>143.08115872263306</v>
      </c>
      <c r="H61" s="52" t="e">
        <f t="shared" si="4"/>
        <v>#DIV/0!</v>
      </c>
    </row>
    <row r="62" spans="1:8" ht="12.75" customHeight="1">
      <c r="A62" s="22" t="s">
        <v>417</v>
      </c>
      <c r="B62" s="23" t="s">
        <v>251</v>
      </c>
      <c r="C62" s="118">
        <f>267063.74/7.5345</f>
        <v>35445.4495985135</v>
      </c>
      <c r="D62" s="118">
        <v>0</v>
      </c>
      <c r="E62" s="118">
        <v>0</v>
      </c>
      <c r="F62" s="118">
        <v>50715.76</v>
      </c>
      <c r="G62" s="52">
        <f t="shared" si="3"/>
        <v>143.08115872263306</v>
      </c>
      <c r="H62" s="52" t="e">
        <f t="shared" si="4"/>
        <v>#DIV/0!</v>
      </c>
    </row>
    <row r="63" spans="1:8" ht="15" customHeight="1">
      <c r="A63" s="18" t="s">
        <v>418</v>
      </c>
      <c r="B63" s="19" t="s">
        <v>304</v>
      </c>
      <c r="C63" s="118">
        <f>SUM(C64:C65)</f>
        <v>417.7543300816245</v>
      </c>
      <c r="D63" s="118">
        <v>0</v>
      </c>
      <c r="E63" s="118">
        <v>0</v>
      </c>
      <c r="F63" s="118">
        <f>SUM(F64:F65)</f>
        <v>60.34</v>
      </c>
      <c r="G63" s="52">
        <f t="shared" si="3"/>
        <v>14.443895767210895</v>
      </c>
      <c r="H63" s="52" t="e">
        <f t="shared" si="4"/>
        <v>#DIV/0!</v>
      </c>
    </row>
    <row r="64" spans="1:8" ht="12.75" customHeight="1">
      <c r="A64" s="22" t="s">
        <v>419</v>
      </c>
      <c r="B64" s="23" t="s">
        <v>252</v>
      </c>
      <c r="C64" s="118">
        <f>3147.57/7.5345</f>
        <v>417.7543300816245</v>
      </c>
      <c r="D64" s="118">
        <v>0</v>
      </c>
      <c r="E64" s="118">
        <v>0</v>
      </c>
      <c r="F64" s="118">
        <v>60.34</v>
      </c>
      <c r="G64" s="52">
        <f t="shared" si="3"/>
        <v>14.443895767210895</v>
      </c>
      <c r="H64" s="52" t="e">
        <f t="shared" si="4"/>
        <v>#DIV/0!</v>
      </c>
    </row>
    <row r="65" spans="1:8" ht="12.75" customHeight="1">
      <c r="A65" s="22" t="s">
        <v>754</v>
      </c>
      <c r="B65" s="23" t="s">
        <v>1399</v>
      </c>
      <c r="C65" s="118">
        <v>0</v>
      </c>
      <c r="D65" s="118">
        <v>0</v>
      </c>
      <c r="E65" s="118">
        <v>0</v>
      </c>
      <c r="F65" s="118">
        <v>0</v>
      </c>
      <c r="G65" s="52" t="e">
        <f>F65/C65*100</f>
        <v>#DIV/0!</v>
      </c>
      <c r="H65" s="52" t="e">
        <f>F65/E65*100</f>
        <v>#DIV/0!</v>
      </c>
    </row>
    <row r="66" spans="1:8" ht="21" customHeight="1">
      <c r="A66" s="24" t="s">
        <v>420</v>
      </c>
      <c r="B66" s="25" t="s">
        <v>184</v>
      </c>
      <c r="C66" s="119">
        <f>C74+C81+C92+C100+C67</f>
        <v>188472.81305992432</v>
      </c>
      <c r="D66" s="119">
        <v>1067509</v>
      </c>
      <c r="E66" s="119">
        <v>1067509</v>
      </c>
      <c r="F66" s="119">
        <f>F74+F81+F92+F100+F67</f>
        <v>72204</v>
      </c>
      <c r="G66" s="52">
        <f t="shared" si="3"/>
        <v>38.31003465579037</v>
      </c>
      <c r="H66" s="52">
        <f t="shared" si="4"/>
        <v>6.763783724540027</v>
      </c>
    </row>
    <row r="67" spans="1:8" ht="18" customHeight="1">
      <c r="A67" s="24" t="s">
        <v>913</v>
      </c>
      <c r="B67" s="25" t="s">
        <v>914</v>
      </c>
      <c r="C67" s="117">
        <f aca="true" t="shared" si="5" ref="C67:F68">C68</f>
        <v>18236.7681996151</v>
      </c>
      <c r="D67" s="117">
        <f t="shared" si="5"/>
        <v>0</v>
      </c>
      <c r="E67" s="117">
        <f t="shared" si="5"/>
        <v>0</v>
      </c>
      <c r="F67" s="117">
        <f t="shared" si="5"/>
        <v>0</v>
      </c>
      <c r="G67" s="52">
        <f aca="true" t="shared" si="6" ref="G67:G73">F67/C67*100</f>
        <v>0</v>
      </c>
      <c r="H67" s="52" t="e">
        <f aca="true" t="shared" si="7" ref="H67:H73">F67/E67*100</f>
        <v>#DIV/0!</v>
      </c>
    </row>
    <row r="68" spans="1:8" ht="15" customHeight="1">
      <c r="A68" s="18" t="s">
        <v>1002</v>
      </c>
      <c r="B68" s="19" t="s">
        <v>915</v>
      </c>
      <c r="C68" s="118">
        <f t="shared" si="5"/>
        <v>18236.7681996151</v>
      </c>
      <c r="D68" s="118">
        <f t="shared" si="5"/>
        <v>0</v>
      </c>
      <c r="E68" s="118">
        <f t="shared" si="5"/>
        <v>0</v>
      </c>
      <c r="F68" s="118">
        <f t="shared" si="5"/>
        <v>0</v>
      </c>
      <c r="G68" s="52">
        <f t="shared" si="6"/>
        <v>0</v>
      </c>
      <c r="H68" s="52" t="e">
        <f t="shared" si="7"/>
        <v>#DIV/0!</v>
      </c>
    </row>
    <row r="69" spans="1:8" ht="15" customHeight="1">
      <c r="A69" s="18" t="s">
        <v>1003</v>
      </c>
      <c r="B69" s="19" t="s">
        <v>1004</v>
      </c>
      <c r="C69" s="118">
        <f>137404.93/7.5345</f>
        <v>18236.7681996151</v>
      </c>
      <c r="D69" s="118">
        <v>0</v>
      </c>
      <c r="E69" s="118">
        <v>0</v>
      </c>
      <c r="F69" s="118">
        <v>0</v>
      </c>
      <c r="G69" s="52">
        <f t="shared" si="6"/>
        <v>0</v>
      </c>
      <c r="H69" s="52" t="e">
        <f t="shared" si="7"/>
        <v>#DIV/0!</v>
      </c>
    </row>
    <row r="70" spans="1:8" ht="22.5" customHeight="1">
      <c r="A70" s="24" t="s">
        <v>1390</v>
      </c>
      <c r="B70" s="138" t="s">
        <v>1391</v>
      </c>
      <c r="C70" s="117">
        <f>C71</f>
        <v>18236.7681996151</v>
      </c>
      <c r="D70" s="117">
        <f>D71</f>
        <v>0</v>
      </c>
      <c r="E70" s="117">
        <f>E71</f>
        <v>0</v>
      </c>
      <c r="F70" s="117">
        <f>F71</f>
        <v>0</v>
      </c>
      <c r="G70" s="52">
        <f t="shared" si="6"/>
        <v>0</v>
      </c>
      <c r="H70" s="52" t="e">
        <f t="shared" si="7"/>
        <v>#DIV/0!</v>
      </c>
    </row>
    <row r="71" spans="1:8" ht="15" customHeight="1">
      <c r="A71" s="18" t="s">
        <v>1392</v>
      </c>
      <c r="B71" s="19" t="s">
        <v>1393</v>
      </c>
      <c r="C71" s="118">
        <f>C73</f>
        <v>18236.7681996151</v>
      </c>
      <c r="D71" s="118">
        <f>D73</f>
        <v>0</v>
      </c>
      <c r="E71" s="118">
        <f>E73</f>
        <v>0</v>
      </c>
      <c r="F71" s="118">
        <f>F73</f>
        <v>0</v>
      </c>
      <c r="G71" s="52">
        <f t="shared" si="6"/>
        <v>0</v>
      </c>
      <c r="H71" s="52" t="e">
        <f t="shared" si="7"/>
        <v>#DIV/0!</v>
      </c>
    </row>
    <row r="72" spans="1:8" ht="15" customHeight="1">
      <c r="A72" s="18" t="s">
        <v>1394</v>
      </c>
      <c r="B72" s="19" t="s">
        <v>1395</v>
      </c>
      <c r="C72" s="118">
        <f>C74</f>
        <v>50289.53347932842</v>
      </c>
      <c r="D72" s="118">
        <v>0</v>
      </c>
      <c r="E72" s="118">
        <v>0</v>
      </c>
      <c r="F72" s="118">
        <v>0</v>
      </c>
      <c r="G72" s="52">
        <f t="shared" si="6"/>
        <v>0</v>
      </c>
      <c r="H72" s="52" t="e">
        <f t="shared" si="7"/>
        <v>#DIV/0!</v>
      </c>
    </row>
    <row r="73" spans="1:8" ht="15" customHeight="1">
      <c r="A73" s="18" t="s">
        <v>1396</v>
      </c>
      <c r="B73" s="19" t="s">
        <v>1004</v>
      </c>
      <c r="C73" s="118">
        <f>137404.93/7.5345</f>
        <v>18236.7681996151</v>
      </c>
      <c r="D73" s="118">
        <v>0</v>
      </c>
      <c r="E73" s="118">
        <v>0</v>
      </c>
      <c r="F73" s="118">
        <v>0</v>
      </c>
      <c r="G73" s="52">
        <f t="shared" si="6"/>
        <v>0</v>
      </c>
      <c r="H73" s="52" t="e">
        <f t="shared" si="7"/>
        <v>#DIV/0!</v>
      </c>
    </row>
    <row r="74" spans="1:8" ht="18" customHeight="1">
      <c r="A74" s="24" t="s">
        <v>421</v>
      </c>
      <c r="B74" s="25" t="s">
        <v>747</v>
      </c>
      <c r="C74" s="117">
        <f>C75+C78</f>
        <v>50289.53347932842</v>
      </c>
      <c r="D74" s="117">
        <f>D75+D78</f>
        <v>0</v>
      </c>
      <c r="E74" s="117">
        <f>E75+E78</f>
        <v>0</v>
      </c>
      <c r="F74" s="117">
        <f>F75+F78</f>
        <v>24075.91</v>
      </c>
      <c r="G74" s="52">
        <f t="shared" si="3"/>
        <v>47.87459404429838</v>
      </c>
      <c r="H74" s="52" t="e">
        <f t="shared" si="4"/>
        <v>#DIV/0!</v>
      </c>
    </row>
    <row r="75" spans="1:8" ht="15" customHeight="1">
      <c r="A75" s="18" t="s">
        <v>422</v>
      </c>
      <c r="B75" s="19" t="s">
        <v>185</v>
      </c>
      <c r="C75" s="118">
        <f>SUM(C76:C77)</f>
        <v>6370.69480390205</v>
      </c>
      <c r="D75" s="118">
        <f>SUM(D76:D77)</f>
        <v>0</v>
      </c>
      <c r="E75" s="118">
        <f>SUM(E76:E77)</f>
        <v>0</v>
      </c>
      <c r="F75" s="118">
        <f>SUM(F76:F77)</f>
        <v>0</v>
      </c>
      <c r="G75" s="52">
        <f t="shared" si="3"/>
        <v>0</v>
      </c>
      <c r="H75" s="52" t="e">
        <f t="shared" si="4"/>
        <v>#DIV/0!</v>
      </c>
    </row>
    <row r="76" spans="1:8" ht="12.75" customHeight="1">
      <c r="A76" s="22" t="s">
        <v>423</v>
      </c>
      <c r="B76" s="23" t="s">
        <v>156</v>
      </c>
      <c r="C76" s="118">
        <f>48000/7.5345</f>
        <v>6370.69480390205</v>
      </c>
      <c r="D76" s="118">
        <v>0</v>
      </c>
      <c r="E76" s="118">
        <v>0</v>
      </c>
      <c r="F76" s="118">
        <v>0</v>
      </c>
      <c r="G76" s="52">
        <f t="shared" si="3"/>
        <v>0</v>
      </c>
      <c r="H76" s="52" t="e">
        <f t="shared" si="4"/>
        <v>#DIV/0!</v>
      </c>
    </row>
    <row r="77" spans="1:8" ht="12.75" customHeight="1">
      <c r="A77" s="22" t="s">
        <v>424</v>
      </c>
      <c r="B77" s="23" t="s">
        <v>157</v>
      </c>
      <c r="C77" s="118">
        <v>0</v>
      </c>
      <c r="D77" s="118">
        <v>0</v>
      </c>
      <c r="E77" s="118">
        <v>0</v>
      </c>
      <c r="F77" s="118">
        <v>0</v>
      </c>
      <c r="G77" s="52" t="e">
        <f t="shared" si="3"/>
        <v>#DIV/0!</v>
      </c>
      <c r="H77" s="52" t="e">
        <f t="shared" si="4"/>
        <v>#DIV/0!</v>
      </c>
    </row>
    <row r="78" spans="1:8" ht="15" customHeight="1">
      <c r="A78" s="18" t="s">
        <v>425</v>
      </c>
      <c r="B78" s="19" t="s">
        <v>186</v>
      </c>
      <c r="C78" s="118">
        <f>SUM(C79:C80)</f>
        <v>43918.83867542637</v>
      </c>
      <c r="D78" s="118">
        <v>0</v>
      </c>
      <c r="E78" s="118">
        <v>0</v>
      </c>
      <c r="F78" s="118">
        <f>SUM(F79:F80)</f>
        <v>24075.91</v>
      </c>
      <c r="G78" s="52">
        <f t="shared" si="3"/>
        <v>54.81909523593811</v>
      </c>
      <c r="H78" s="52" t="e">
        <f t="shared" si="4"/>
        <v>#DIV/0!</v>
      </c>
    </row>
    <row r="79" spans="1:8" ht="12.75" customHeight="1">
      <c r="A79" s="22" t="s">
        <v>426</v>
      </c>
      <c r="B79" s="23" t="s">
        <v>158</v>
      </c>
      <c r="C79" s="118">
        <f>330906.49/7.5345</f>
        <v>43918.83867542637</v>
      </c>
      <c r="D79" s="118">
        <v>0</v>
      </c>
      <c r="E79" s="118">
        <v>0</v>
      </c>
      <c r="F79" s="118">
        <f>16855.79+7220.12</f>
        <v>24075.91</v>
      </c>
      <c r="G79" s="52">
        <f t="shared" si="3"/>
        <v>54.81909523593811</v>
      </c>
      <c r="H79" s="52" t="e">
        <f t="shared" si="4"/>
        <v>#DIV/0!</v>
      </c>
    </row>
    <row r="80" spans="1:8" ht="12.75" customHeight="1">
      <c r="A80" s="22" t="s">
        <v>427</v>
      </c>
      <c r="B80" s="23" t="s">
        <v>155</v>
      </c>
      <c r="C80" s="118">
        <v>0</v>
      </c>
      <c r="D80" s="118">
        <v>0</v>
      </c>
      <c r="E80" s="118">
        <v>0</v>
      </c>
      <c r="F80" s="118">
        <v>0</v>
      </c>
      <c r="G80" s="52" t="e">
        <f t="shared" si="3"/>
        <v>#DIV/0!</v>
      </c>
      <c r="H80" s="52" t="e">
        <f t="shared" si="4"/>
        <v>#DIV/0!</v>
      </c>
    </row>
    <row r="81" spans="1:8" ht="18" customHeight="1">
      <c r="A81" s="24" t="s">
        <v>428</v>
      </c>
      <c r="B81" s="25" t="s">
        <v>731</v>
      </c>
      <c r="C81" s="117">
        <f>C82+C88</f>
        <v>5872.486561815647</v>
      </c>
      <c r="D81" s="117">
        <f>D82+D88</f>
        <v>0</v>
      </c>
      <c r="E81" s="117">
        <f>E82+E88</f>
        <v>0</v>
      </c>
      <c r="F81" s="117">
        <f>F82+F88</f>
        <v>0</v>
      </c>
      <c r="G81" s="52">
        <f t="shared" si="3"/>
        <v>0</v>
      </c>
      <c r="H81" s="52" t="e">
        <f t="shared" si="4"/>
        <v>#DIV/0!</v>
      </c>
    </row>
    <row r="82" spans="1:8" ht="15" customHeight="1">
      <c r="A82" s="18" t="s">
        <v>528</v>
      </c>
      <c r="B82" s="19" t="s">
        <v>732</v>
      </c>
      <c r="C82" s="118">
        <f>SUM(C83:C87)</f>
        <v>0</v>
      </c>
      <c r="D82" s="118">
        <f>SUM(D83:D87)</f>
        <v>0</v>
      </c>
      <c r="E82" s="118">
        <f>SUM(E83:E87)</f>
        <v>0</v>
      </c>
      <c r="F82" s="118">
        <f>SUM(F83:F87)</f>
        <v>0</v>
      </c>
      <c r="G82" s="52" t="e">
        <f t="shared" si="3"/>
        <v>#DIV/0!</v>
      </c>
      <c r="H82" s="52" t="e">
        <f aca="true" t="shared" si="8" ref="H82:H87">F82/E82*100</f>
        <v>#DIV/0!</v>
      </c>
    </row>
    <row r="83" spans="1:8" ht="12.75" customHeight="1">
      <c r="A83" s="22" t="s">
        <v>643</v>
      </c>
      <c r="B83" s="23" t="s">
        <v>888</v>
      </c>
      <c r="C83" s="118">
        <v>0</v>
      </c>
      <c r="D83" s="118">
        <v>0</v>
      </c>
      <c r="E83" s="118">
        <v>0</v>
      </c>
      <c r="F83" s="118">
        <v>0</v>
      </c>
      <c r="G83" s="52" t="e">
        <f t="shared" si="3"/>
        <v>#DIV/0!</v>
      </c>
      <c r="H83" s="52" t="e">
        <f t="shared" si="8"/>
        <v>#DIV/0!</v>
      </c>
    </row>
    <row r="84" spans="1:8" ht="12.75" customHeight="1">
      <c r="A84" s="22" t="s">
        <v>643</v>
      </c>
      <c r="B84" s="23" t="s">
        <v>900</v>
      </c>
      <c r="C84" s="118">
        <v>0</v>
      </c>
      <c r="D84" s="118">
        <v>0</v>
      </c>
      <c r="E84" s="118">
        <v>0</v>
      </c>
      <c r="F84" s="118">
        <v>0</v>
      </c>
      <c r="G84" s="52" t="e">
        <f aca="true" t="shared" si="9" ref="G84:G89">F84/C84*100</f>
        <v>#DIV/0!</v>
      </c>
      <c r="H84" s="52" t="e">
        <f t="shared" si="8"/>
        <v>#DIV/0!</v>
      </c>
    </row>
    <row r="85" spans="1:8" ht="12.75" customHeight="1">
      <c r="A85" s="22" t="s">
        <v>529</v>
      </c>
      <c r="B85" s="23" t="s">
        <v>532</v>
      </c>
      <c r="C85" s="118">
        <v>0</v>
      </c>
      <c r="D85" s="118">
        <v>0</v>
      </c>
      <c r="E85" s="118">
        <v>0</v>
      </c>
      <c r="F85" s="118">
        <v>0</v>
      </c>
      <c r="G85" s="52" t="e">
        <f t="shared" si="9"/>
        <v>#DIV/0!</v>
      </c>
      <c r="H85" s="52" t="e">
        <f t="shared" si="8"/>
        <v>#DIV/0!</v>
      </c>
    </row>
    <row r="86" spans="1:8" ht="12.75" customHeight="1">
      <c r="A86" s="22" t="s">
        <v>529</v>
      </c>
      <c r="B86" s="23" t="s">
        <v>644</v>
      </c>
      <c r="C86" s="118">
        <v>0</v>
      </c>
      <c r="D86" s="118">
        <v>0</v>
      </c>
      <c r="E86" s="118">
        <v>0</v>
      </c>
      <c r="F86" s="118">
        <v>0</v>
      </c>
      <c r="G86" s="52" t="e">
        <f t="shared" si="9"/>
        <v>#DIV/0!</v>
      </c>
      <c r="H86" s="52" t="e">
        <f t="shared" si="8"/>
        <v>#DIV/0!</v>
      </c>
    </row>
    <row r="87" spans="1:8" ht="12.75" customHeight="1">
      <c r="A87" s="22" t="s">
        <v>529</v>
      </c>
      <c r="B87" s="23" t="s">
        <v>901</v>
      </c>
      <c r="C87" s="118">
        <v>0</v>
      </c>
      <c r="D87" s="118">
        <v>0</v>
      </c>
      <c r="E87" s="118">
        <v>0</v>
      </c>
      <c r="F87" s="118">
        <v>0</v>
      </c>
      <c r="G87" s="52" t="e">
        <f t="shared" si="9"/>
        <v>#DIV/0!</v>
      </c>
      <c r="H87" s="52" t="e">
        <f t="shared" si="8"/>
        <v>#DIV/0!</v>
      </c>
    </row>
    <row r="88" spans="1:8" ht="15" customHeight="1">
      <c r="A88" s="18" t="s">
        <v>429</v>
      </c>
      <c r="B88" s="19" t="s">
        <v>733</v>
      </c>
      <c r="C88" s="118">
        <f>SUM(C89:C91)</f>
        <v>5872.486561815647</v>
      </c>
      <c r="D88" s="118">
        <v>0</v>
      </c>
      <c r="E88" s="118">
        <v>0</v>
      </c>
      <c r="F88" s="118">
        <f>SUM(F89:F91)</f>
        <v>0</v>
      </c>
      <c r="G88" s="52">
        <f t="shared" si="9"/>
        <v>0</v>
      </c>
      <c r="H88" s="52" t="e">
        <f t="shared" si="4"/>
        <v>#DIV/0!</v>
      </c>
    </row>
    <row r="89" spans="1:8" ht="12.75" customHeight="1">
      <c r="A89" s="22" t="s">
        <v>430</v>
      </c>
      <c r="B89" s="23" t="s">
        <v>734</v>
      </c>
      <c r="C89" s="118">
        <f>44246.25/7.5345</f>
        <v>5872.486561815647</v>
      </c>
      <c r="D89" s="118">
        <v>0</v>
      </c>
      <c r="E89" s="118">
        <v>0</v>
      </c>
      <c r="F89" s="118">
        <v>0</v>
      </c>
      <c r="G89" s="52">
        <f t="shared" si="9"/>
        <v>0</v>
      </c>
      <c r="H89" s="52" t="e">
        <f t="shared" si="4"/>
        <v>#DIV/0!</v>
      </c>
    </row>
    <row r="90" spans="1:8" ht="12.75" customHeight="1">
      <c r="A90" s="22" t="s">
        <v>430</v>
      </c>
      <c r="B90" s="23" t="s">
        <v>1343</v>
      </c>
      <c r="C90" s="118">
        <v>0</v>
      </c>
      <c r="D90" s="118">
        <v>0</v>
      </c>
      <c r="E90" s="118">
        <v>0</v>
      </c>
      <c r="F90" s="118">
        <v>0</v>
      </c>
      <c r="G90" s="52" t="e">
        <f>F90/C90*100</f>
        <v>#DIV/0!</v>
      </c>
      <c r="H90" s="52" t="e">
        <f>F90/E90*100</f>
        <v>#DIV/0!</v>
      </c>
    </row>
    <row r="91" spans="1:8" ht="12.75" customHeight="1">
      <c r="A91" s="22" t="s">
        <v>1344</v>
      </c>
      <c r="B91" s="23" t="s">
        <v>1345</v>
      </c>
      <c r="C91" s="118">
        <v>0</v>
      </c>
      <c r="D91" s="118">
        <v>0</v>
      </c>
      <c r="E91" s="118">
        <v>0</v>
      </c>
      <c r="F91" s="118">
        <v>0</v>
      </c>
      <c r="G91" s="52" t="e">
        <f>F91/C91*100</f>
        <v>#DIV/0!</v>
      </c>
      <c r="H91" s="52" t="e">
        <f>F91/E91*100</f>
        <v>#DIV/0!</v>
      </c>
    </row>
    <row r="92" spans="1:8" ht="18" customHeight="1">
      <c r="A92" s="24" t="s">
        <v>645</v>
      </c>
      <c r="B92" s="25" t="s">
        <v>646</v>
      </c>
      <c r="C92" s="117">
        <f>C93+C98</f>
        <v>8027.075452916582</v>
      </c>
      <c r="D92" s="117">
        <f>D93+D98</f>
        <v>0</v>
      </c>
      <c r="E92" s="117">
        <f>E93+E98</f>
        <v>0</v>
      </c>
      <c r="F92" s="117">
        <f>F93+F98</f>
        <v>1375.2</v>
      </c>
      <c r="G92" s="52">
        <f aca="true" t="shared" si="10" ref="G92:G102">F92/C92*100</f>
        <v>17.132017857142863</v>
      </c>
      <c r="H92" s="52" t="e">
        <f aca="true" t="shared" si="11" ref="H92:H100">F92/E92*100</f>
        <v>#DIV/0!</v>
      </c>
    </row>
    <row r="93" spans="1:8" ht="15" customHeight="1">
      <c r="A93" s="18" t="s">
        <v>647</v>
      </c>
      <c r="B93" s="19" t="s">
        <v>648</v>
      </c>
      <c r="C93" s="118">
        <f>SUM(C94:C95)</f>
        <v>860.0437985267768</v>
      </c>
      <c r="D93" s="118">
        <v>0</v>
      </c>
      <c r="E93" s="118">
        <v>0</v>
      </c>
      <c r="F93" s="118">
        <f>SUM(F94:F95)</f>
        <v>1375.2</v>
      </c>
      <c r="G93" s="52">
        <f t="shared" si="10"/>
        <v>159.89883333333336</v>
      </c>
      <c r="H93" s="52" t="e">
        <f t="shared" si="11"/>
        <v>#DIV/0!</v>
      </c>
    </row>
    <row r="94" spans="1:8" ht="12.75" customHeight="1">
      <c r="A94" s="22" t="s">
        <v>647</v>
      </c>
      <c r="B94" s="23" t="s">
        <v>649</v>
      </c>
      <c r="C94" s="118">
        <f>6480/7.5345</f>
        <v>860.0437985267768</v>
      </c>
      <c r="D94" s="118">
        <v>0</v>
      </c>
      <c r="E94" s="118">
        <v>0</v>
      </c>
      <c r="F94" s="118">
        <v>1375.2</v>
      </c>
      <c r="G94" s="52">
        <f t="shared" si="10"/>
        <v>159.89883333333336</v>
      </c>
      <c r="H94" s="52" t="e">
        <f t="shared" si="11"/>
        <v>#DIV/0!</v>
      </c>
    </row>
    <row r="95" spans="1:8" ht="12.75" customHeight="1">
      <c r="A95" s="22" t="s">
        <v>647</v>
      </c>
      <c r="B95" s="23" t="s">
        <v>1305</v>
      </c>
      <c r="C95" s="118">
        <v>0</v>
      </c>
      <c r="D95" s="118">
        <v>0</v>
      </c>
      <c r="E95" s="118">
        <v>0</v>
      </c>
      <c r="F95" s="118">
        <v>0</v>
      </c>
      <c r="G95" s="52" t="e">
        <f t="shared" si="10"/>
        <v>#DIV/0!</v>
      </c>
      <c r="H95" s="52" t="e">
        <f t="shared" si="11"/>
        <v>#DIV/0!</v>
      </c>
    </row>
    <row r="96" spans="1:8" ht="27" customHeight="1">
      <c r="A96" s="90" t="s">
        <v>790</v>
      </c>
      <c r="B96" s="90" t="s">
        <v>883</v>
      </c>
      <c r="C96" s="149" t="s">
        <v>1386</v>
      </c>
      <c r="D96" s="166" t="s">
        <v>1387</v>
      </c>
      <c r="E96" s="166" t="s">
        <v>1388</v>
      </c>
      <c r="F96" s="46" t="s">
        <v>1389</v>
      </c>
      <c r="G96" s="53" t="s">
        <v>793</v>
      </c>
      <c r="H96" s="53" t="s">
        <v>794</v>
      </c>
    </row>
    <row r="97" spans="1:8" ht="9.75" customHeight="1">
      <c r="A97" s="94">
        <v>1</v>
      </c>
      <c r="B97" s="94">
        <v>2</v>
      </c>
      <c r="C97" s="163">
        <v>3</v>
      </c>
      <c r="D97" s="150">
        <v>4</v>
      </c>
      <c r="E97" s="150">
        <v>5</v>
      </c>
      <c r="F97" s="53">
        <v>6</v>
      </c>
      <c r="G97" s="53">
        <v>7</v>
      </c>
      <c r="H97" s="53">
        <v>8</v>
      </c>
    </row>
    <row r="98" spans="1:8" ht="15" customHeight="1">
      <c r="A98" s="18" t="s">
        <v>650</v>
      </c>
      <c r="B98" s="19" t="s">
        <v>735</v>
      </c>
      <c r="C98" s="118">
        <f>SUM(C99:C99)</f>
        <v>7167.031654389806</v>
      </c>
      <c r="D98" s="118">
        <v>0</v>
      </c>
      <c r="E98" s="118">
        <v>0</v>
      </c>
      <c r="F98" s="118">
        <f>SUM(F99:F99)</f>
        <v>0</v>
      </c>
      <c r="G98" s="52">
        <f t="shared" si="10"/>
        <v>0</v>
      </c>
      <c r="H98" s="52" t="e">
        <f t="shared" si="11"/>
        <v>#DIV/0!</v>
      </c>
    </row>
    <row r="99" spans="1:8" ht="12.75" customHeight="1">
      <c r="A99" s="22" t="s">
        <v>651</v>
      </c>
      <c r="B99" s="23" t="s">
        <v>652</v>
      </c>
      <c r="C99" s="118">
        <f>54000/7.5345</f>
        <v>7167.031654389806</v>
      </c>
      <c r="D99" s="118">
        <v>0</v>
      </c>
      <c r="E99" s="118">
        <v>0</v>
      </c>
      <c r="F99" s="118">
        <v>0</v>
      </c>
      <c r="G99" s="52">
        <f t="shared" si="10"/>
        <v>0</v>
      </c>
      <c r="H99" s="52" t="e">
        <f t="shared" si="11"/>
        <v>#DIV/0!</v>
      </c>
    </row>
    <row r="100" spans="1:8" ht="18" customHeight="1">
      <c r="A100" s="24" t="s">
        <v>736</v>
      </c>
      <c r="B100" s="25" t="s">
        <v>738</v>
      </c>
      <c r="C100" s="117">
        <f>C102+C101</f>
        <v>106046.94936624858</v>
      </c>
      <c r="D100" s="117">
        <f>D102+D101</f>
        <v>0</v>
      </c>
      <c r="E100" s="117">
        <f>E102+E101</f>
        <v>0</v>
      </c>
      <c r="F100" s="117">
        <f>F102+F101</f>
        <v>46752.89</v>
      </c>
      <c r="G100" s="52">
        <f t="shared" si="10"/>
        <v>44.08697306183895</v>
      </c>
      <c r="H100" s="52" t="e">
        <f t="shared" si="11"/>
        <v>#DIV/0!</v>
      </c>
    </row>
    <row r="101" spans="1:8" ht="15" customHeight="1">
      <c r="A101" s="18" t="s">
        <v>1349</v>
      </c>
      <c r="B101" s="164" t="s">
        <v>1350</v>
      </c>
      <c r="C101" s="118">
        <f>252780.92/7.5345</f>
        <v>33549.79361603291</v>
      </c>
      <c r="D101" s="118">
        <v>0</v>
      </c>
      <c r="E101" s="118">
        <v>0</v>
      </c>
      <c r="F101" s="118">
        <v>46752.89</v>
      </c>
      <c r="G101" s="52">
        <f>F101/C101*100</f>
        <v>139.35373354325952</v>
      </c>
      <c r="H101" s="52" t="e">
        <f>F101/E101*100</f>
        <v>#DIV/0!</v>
      </c>
    </row>
    <row r="102" spans="1:8" ht="15" customHeight="1">
      <c r="A102" s="18" t="s">
        <v>737</v>
      </c>
      <c r="B102" s="19" t="s">
        <v>739</v>
      </c>
      <c r="C102" s="118">
        <f>546229.82/7.5345</f>
        <v>72497.15575021566</v>
      </c>
      <c r="D102" s="118">
        <v>0</v>
      </c>
      <c r="E102" s="118">
        <v>0</v>
      </c>
      <c r="F102" s="118">
        <v>0</v>
      </c>
      <c r="G102" s="52">
        <f t="shared" si="10"/>
        <v>0</v>
      </c>
      <c r="H102" s="52" t="e">
        <f>F102/E102*100</f>
        <v>#DIV/0!</v>
      </c>
    </row>
    <row r="103" spans="1:8" ht="8.25" customHeight="1">
      <c r="A103" s="6"/>
      <c r="B103" s="7"/>
      <c r="C103" s="151"/>
      <c r="D103" s="151"/>
      <c r="E103" s="151"/>
      <c r="F103" s="9"/>
      <c r="G103" s="55"/>
      <c r="H103" s="56"/>
    </row>
    <row r="104" spans="1:8" ht="20.25" customHeight="1">
      <c r="A104" s="24" t="s">
        <v>431</v>
      </c>
      <c r="B104" s="25" t="s">
        <v>187</v>
      </c>
      <c r="C104" s="117">
        <f>C105+C117</f>
        <v>394170.552790497</v>
      </c>
      <c r="D104" s="117">
        <v>1023350</v>
      </c>
      <c r="E104" s="117">
        <v>1023350</v>
      </c>
      <c r="F104" s="117">
        <f>F105+F117</f>
        <v>517876.79000000004</v>
      </c>
      <c r="G104" s="52">
        <f t="shared" si="3"/>
        <v>131.38393680951944</v>
      </c>
      <c r="H104" s="52">
        <f t="shared" si="4"/>
        <v>50.606028240582404</v>
      </c>
    </row>
    <row r="105" spans="1:8" ht="18" customHeight="1">
      <c r="A105" s="24" t="s">
        <v>432</v>
      </c>
      <c r="B105" s="25" t="s">
        <v>188</v>
      </c>
      <c r="C105" s="117">
        <f>C106+C111+C113+C115</f>
        <v>540.0929059658902</v>
      </c>
      <c r="D105" s="117">
        <f>D106+D111+D113+D115</f>
        <v>0</v>
      </c>
      <c r="E105" s="117">
        <f>E106+E111+E113+E115</f>
        <v>0</v>
      </c>
      <c r="F105" s="117">
        <f>F106+F111+F113+F115</f>
        <v>18756.47</v>
      </c>
      <c r="G105" s="52">
        <f t="shared" si="3"/>
        <v>3472.8228778447565</v>
      </c>
      <c r="H105" s="52" t="e">
        <f t="shared" si="4"/>
        <v>#DIV/0!</v>
      </c>
    </row>
    <row r="106" spans="1:8" ht="15" customHeight="1">
      <c r="A106" s="18" t="s">
        <v>433</v>
      </c>
      <c r="B106" s="19" t="s">
        <v>189</v>
      </c>
      <c r="C106" s="118">
        <f>SUM(C107:C110)</f>
        <v>11.66235317539319</v>
      </c>
      <c r="D106" s="118">
        <v>0</v>
      </c>
      <c r="E106" s="118">
        <v>0</v>
      </c>
      <c r="F106" s="118">
        <f>SUM(F107:F110)</f>
        <v>11514.49</v>
      </c>
      <c r="G106" s="52">
        <f t="shared" si="3"/>
        <v>98732.13258791398</v>
      </c>
      <c r="H106" s="52" t="e">
        <f t="shared" si="4"/>
        <v>#DIV/0!</v>
      </c>
    </row>
    <row r="107" spans="1:8" ht="12.75" customHeight="1">
      <c r="A107" s="22" t="s">
        <v>434</v>
      </c>
      <c r="B107" s="23" t="s">
        <v>159</v>
      </c>
      <c r="C107" s="118">
        <v>0</v>
      </c>
      <c r="D107" s="118">
        <v>0</v>
      </c>
      <c r="E107" s="118">
        <v>0</v>
      </c>
      <c r="F107" s="118">
        <v>10617.22</v>
      </c>
      <c r="G107" s="52" t="e">
        <f t="shared" si="3"/>
        <v>#DIV/0!</v>
      </c>
      <c r="H107" s="52" t="e">
        <f t="shared" si="4"/>
        <v>#DIV/0!</v>
      </c>
    </row>
    <row r="108" spans="1:8" ht="12.75" customHeight="1">
      <c r="A108" s="22" t="s">
        <v>435</v>
      </c>
      <c r="B108" s="23" t="s">
        <v>654</v>
      </c>
      <c r="C108" s="118">
        <f>83.43/7.5345</f>
        <v>11.073063906032251</v>
      </c>
      <c r="D108" s="118">
        <v>0</v>
      </c>
      <c r="E108" s="118">
        <v>0</v>
      </c>
      <c r="F108" s="118">
        <v>0</v>
      </c>
      <c r="G108" s="52">
        <f t="shared" si="3"/>
        <v>0</v>
      </c>
      <c r="H108" s="52" t="e">
        <f t="shared" si="4"/>
        <v>#DIV/0!</v>
      </c>
    </row>
    <row r="109" spans="1:8" ht="12.75" customHeight="1">
      <c r="A109" s="22" t="s">
        <v>435</v>
      </c>
      <c r="B109" s="23" t="s">
        <v>653</v>
      </c>
      <c r="C109" s="118">
        <f>0.58/7.5345</f>
        <v>0.0769792288804831</v>
      </c>
      <c r="D109" s="118">
        <v>0</v>
      </c>
      <c r="E109" s="118">
        <v>0</v>
      </c>
      <c r="F109" s="118">
        <v>0.02</v>
      </c>
      <c r="G109" s="52">
        <f aca="true" t="shared" si="12" ref="G109:G116">F109/C109*100</f>
        <v>25.981034482758623</v>
      </c>
      <c r="H109" s="52" t="e">
        <f aca="true" t="shared" si="13" ref="H109:H116">F109/E109*100</f>
        <v>#DIV/0!</v>
      </c>
    </row>
    <row r="110" spans="1:8" ht="12.75" customHeight="1">
      <c r="A110" s="22" t="s">
        <v>435</v>
      </c>
      <c r="B110" s="23" t="s">
        <v>655</v>
      </c>
      <c r="C110" s="118">
        <f>3.86/7.5345</f>
        <v>0.5123100404804565</v>
      </c>
      <c r="D110" s="118">
        <v>0</v>
      </c>
      <c r="E110" s="118">
        <v>0</v>
      </c>
      <c r="F110" s="118">
        <v>897.25</v>
      </c>
      <c r="G110" s="52">
        <f t="shared" si="12"/>
        <v>175138.08613989642</v>
      </c>
      <c r="H110" s="52" t="e">
        <f t="shared" si="13"/>
        <v>#DIV/0!</v>
      </c>
    </row>
    <row r="111" spans="1:8" ht="15" customHeight="1">
      <c r="A111" s="18" t="s">
        <v>1005</v>
      </c>
      <c r="B111" s="19" t="s">
        <v>1006</v>
      </c>
      <c r="C111" s="118">
        <f>SUM(C112)</f>
        <v>528.430552790497</v>
      </c>
      <c r="D111" s="118">
        <v>0</v>
      </c>
      <c r="E111" s="118">
        <v>0</v>
      </c>
      <c r="F111" s="118">
        <f>SUM(F112)</f>
        <v>7241.98</v>
      </c>
      <c r="G111" s="52">
        <f>F111/C111*100</f>
        <v>1370.469584273106</v>
      </c>
      <c r="H111" s="52" t="e">
        <f>F111/E111*100</f>
        <v>#DIV/0!</v>
      </c>
    </row>
    <row r="112" spans="1:8" ht="12.75" customHeight="1">
      <c r="A112" s="22" t="s">
        <v>1007</v>
      </c>
      <c r="B112" s="23" t="s">
        <v>1008</v>
      </c>
      <c r="C112" s="118">
        <f>3981.46/7.5345</f>
        <v>528.430552790497</v>
      </c>
      <c r="D112" s="118">
        <v>0</v>
      </c>
      <c r="E112" s="118">
        <v>0</v>
      </c>
      <c r="F112" s="118">
        <v>7241.98</v>
      </c>
      <c r="G112" s="52">
        <f>F112/C112*100</f>
        <v>1370.469584273106</v>
      </c>
      <c r="H112" s="52" t="e">
        <f>F112/E112*100</f>
        <v>#DIV/0!</v>
      </c>
    </row>
    <row r="113" spans="1:8" ht="15" customHeight="1">
      <c r="A113" s="18" t="s">
        <v>530</v>
      </c>
      <c r="B113" s="19" t="s">
        <v>916</v>
      </c>
      <c r="C113" s="118">
        <f>SUM(C114)</f>
        <v>0</v>
      </c>
      <c r="D113" s="118">
        <f>SUM(D114)</f>
        <v>0</v>
      </c>
      <c r="E113" s="118">
        <f>SUM(E114)</f>
        <v>0</v>
      </c>
      <c r="F113" s="118">
        <f>SUM(F114)</f>
        <v>0</v>
      </c>
      <c r="G113" s="52" t="e">
        <f t="shared" si="12"/>
        <v>#DIV/0!</v>
      </c>
      <c r="H113" s="52" t="e">
        <f t="shared" si="13"/>
        <v>#DIV/0!</v>
      </c>
    </row>
    <row r="114" spans="1:8" ht="12.75" customHeight="1">
      <c r="A114" s="22" t="s">
        <v>531</v>
      </c>
      <c r="B114" s="23" t="s">
        <v>574</v>
      </c>
      <c r="C114" s="118">
        <v>0</v>
      </c>
      <c r="D114" s="118">
        <v>0</v>
      </c>
      <c r="E114" s="118">
        <v>0</v>
      </c>
      <c r="F114" s="118">
        <v>0</v>
      </c>
      <c r="G114" s="52" t="e">
        <f t="shared" si="12"/>
        <v>#DIV/0!</v>
      </c>
      <c r="H114" s="52" t="e">
        <f t="shared" si="13"/>
        <v>#DIV/0!</v>
      </c>
    </row>
    <row r="115" spans="1:8" ht="15" customHeight="1">
      <c r="A115" s="18" t="s">
        <v>917</v>
      </c>
      <c r="B115" s="19" t="s">
        <v>919</v>
      </c>
      <c r="C115" s="118">
        <f>SUM(C116)</f>
        <v>0</v>
      </c>
      <c r="D115" s="118">
        <f>SUM(D116)</f>
        <v>0</v>
      </c>
      <c r="E115" s="118">
        <f>SUM(E116)</f>
        <v>0</v>
      </c>
      <c r="F115" s="118">
        <f>SUM(F116)</f>
        <v>0</v>
      </c>
      <c r="G115" s="52" t="e">
        <f t="shared" si="12"/>
        <v>#DIV/0!</v>
      </c>
      <c r="H115" s="52" t="e">
        <f t="shared" si="13"/>
        <v>#DIV/0!</v>
      </c>
    </row>
    <row r="116" spans="1:8" ht="12.75" customHeight="1">
      <c r="A116" s="22" t="s">
        <v>918</v>
      </c>
      <c r="B116" s="23" t="s">
        <v>920</v>
      </c>
      <c r="C116" s="118">
        <v>0</v>
      </c>
      <c r="D116" s="118">
        <v>0</v>
      </c>
      <c r="E116" s="118">
        <v>0</v>
      </c>
      <c r="F116" s="118">
        <v>0</v>
      </c>
      <c r="G116" s="52" t="e">
        <f t="shared" si="12"/>
        <v>#DIV/0!</v>
      </c>
      <c r="H116" s="52" t="e">
        <f t="shared" si="13"/>
        <v>#DIV/0!</v>
      </c>
    </row>
    <row r="117" spans="1:8" ht="18" customHeight="1">
      <c r="A117" s="24" t="s">
        <v>352</v>
      </c>
      <c r="B117" s="25" t="s">
        <v>190</v>
      </c>
      <c r="C117" s="117">
        <f>C118+C121+C126+C130</f>
        <v>393630.45988453116</v>
      </c>
      <c r="D117" s="117">
        <f>D118+D121+D126+D130</f>
        <v>0</v>
      </c>
      <c r="E117" s="117">
        <f>E118+E121+E126+E130</f>
        <v>0</v>
      </c>
      <c r="F117" s="117">
        <f>F118+F121+F126+F130</f>
        <v>499120.32</v>
      </c>
      <c r="G117" s="52">
        <f aca="true" t="shared" si="14" ref="G117:G169">F117/C117*100</f>
        <v>126.79921166324719</v>
      </c>
      <c r="H117" s="52" t="e">
        <f aca="true" t="shared" si="15" ref="H117:H173">F117/E117*100</f>
        <v>#DIV/0!</v>
      </c>
    </row>
    <row r="118" spans="1:8" ht="15" customHeight="1">
      <c r="A118" s="18" t="s">
        <v>353</v>
      </c>
      <c r="B118" s="19" t="s">
        <v>191</v>
      </c>
      <c r="C118" s="118">
        <f>SUM(C119:C120)</f>
        <v>72503.72951091644</v>
      </c>
      <c r="D118" s="118">
        <v>0</v>
      </c>
      <c r="E118" s="118">
        <v>0</v>
      </c>
      <c r="F118" s="118">
        <f>SUM(F119:F120)</f>
        <v>114997.89</v>
      </c>
      <c r="G118" s="52">
        <f t="shared" si="14"/>
        <v>158.6096201888283</v>
      </c>
      <c r="H118" s="52" t="e">
        <f t="shared" si="15"/>
        <v>#DIV/0!</v>
      </c>
    </row>
    <row r="119" spans="1:8" ht="12.75" customHeight="1">
      <c r="A119" s="22" t="s">
        <v>354</v>
      </c>
      <c r="B119" s="23" t="s">
        <v>160</v>
      </c>
      <c r="C119" s="118">
        <f>546279.35/7.5345</f>
        <v>72503.72951091644</v>
      </c>
      <c r="D119" s="118">
        <v>0</v>
      </c>
      <c r="E119" s="118">
        <v>0</v>
      </c>
      <c r="F119" s="118">
        <v>114997.89</v>
      </c>
      <c r="G119" s="52">
        <f t="shared" si="14"/>
        <v>158.6096201888283</v>
      </c>
      <c r="H119" s="52" t="e">
        <f t="shared" si="15"/>
        <v>#DIV/0!</v>
      </c>
    </row>
    <row r="120" spans="1:8" ht="12.75" customHeight="1">
      <c r="A120" s="22" t="s">
        <v>552</v>
      </c>
      <c r="B120" s="23" t="s">
        <v>551</v>
      </c>
      <c r="C120" s="118">
        <v>0</v>
      </c>
      <c r="D120" s="118">
        <v>0</v>
      </c>
      <c r="E120" s="118">
        <v>0</v>
      </c>
      <c r="F120" s="118">
        <v>0</v>
      </c>
      <c r="G120" s="52" t="e">
        <f t="shared" si="14"/>
        <v>#DIV/0!</v>
      </c>
      <c r="H120" s="52" t="e">
        <f t="shared" si="15"/>
        <v>#DIV/0!</v>
      </c>
    </row>
    <row r="121" spans="1:8" ht="15" customHeight="1">
      <c r="A121" s="18" t="s">
        <v>355</v>
      </c>
      <c r="B121" s="19" t="s">
        <v>192</v>
      </c>
      <c r="C121" s="118">
        <f>SUM(C122:C125)</f>
        <v>229852.6153029398</v>
      </c>
      <c r="D121" s="118">
        <v>0</v>
      </c>
      <c r="E121" s="118">
        <v>0</v>
      </c>
      <c r="F121" s="118">
        <f>SUM(F122:F125)</f>
        <v>259429.31</v>
      </c>
      <c r="G121" s="52">
        <f t="shared" si="14"/>
        <v>112.86767812412266</v>
      </c>
      <c r="H121" s="52" t="e">
        <f t="shared" si="15"/>
        <v>#DIV/0!</v>
      </c>
    </row>
    <row r="122" spans="1:8" ht="12.75" customHeight="1">
      <c r="A122" s="22" t="s">
        <v>575</v>
      </c>
      <c r="B122" s="23" t="s">
        <v>576</v>
      </c>
      <c r="C122" s="118">
        <f>2390.8/7.5345</f>
        <v>317.31369035768796</v>
      </c>
      <c r="D122" s="118">
        <v>0</v>
      </c>
      <c r="E122" s="118">
        <v>0</v>
      </c>
      <c r="F122" s="118">
        <v>165.31</v>
      </c>
      <c r="G122" s="52">
        <f>F122/C122*100</f>
        <v>52.09671218838883</v>
      </c>
      <c r="H122" s="52" t="e">
        <f>F122/E122*100</f>
        <v>#DIV/0!</v>
      </c>
    </row>
    <row r="123" spans="1:8" ht="12.75" customHeight="1">
      <c r="A123" s="22" t="s">
        <v>356</v>
      </c>
      <c r="B123" s="23" t="s">
        <v>656</v>
      </c>
      <c r="C123" s="118">
        <f>1721033.73/7.5345</f>
        <v>228420.43002189926</v>
      </c>
      <c r="D123" s="118">
        <v>0</v>
      </c>
      <c r="E123" s="118">
        <v>0</v>
      </c>
      <c r="F123" s="118">
        <v>251962.39</v>
      </c>
      <c r="G123" s="52">
        <f t="shared" si="14"/>
        <v>110.30641610115335</v>
      </c>
      <c r="H123" s="52" t="e">
        <f t="shared" si="15"/>
        <v>#DIV/0!</v>
      </c>
    </row>
    <row r="124" spans="1:8" ht="12.75" customHeight="1">
      <c r="A124" s="22" t="s">
        <v>355</v>
      </c>
      <c r="B124" s="23" t="s">
        <v>657</v>
      </c>
      <c r="C124" s="118">
        <v>0</v>
      </c>
      <c r="D124" s="118">
        <v>0</v>
      </c>
      <c r="E124" s="118">
        <v>0</v>
      </c>
      <c r="F124" s="118">
        <v>0</v>
      </c>
      <c r="G124" s="52" t="e">
        <f>F124/C124*100</f>
        <v>#DIV/0!</v>
      </c>
      <c r="H124" s="52" t="e">
        <f>F124/E124*100</f>
        <v>#DIV/0!</v>
      </c>
    </row>
    <row r="125" spans="1:8" ht="12.75" customHeight="1">
      <c r="A125" s="22" t="s">
        <v>522</v>
      </c>
      <c r="B125" s="23" t="s">
        <v>523</v>
      </c>
      <c r="C125" s="118">
        <f>8400/7.5345</f>
        <v>1114.8715906828588</v>
      </c>
      <c r="D125" s="118">
        <v>0</v>
      </c>
      <c r="E125" s="118">
        <v>0</v>
      </c>
      <c r="F125" s="118">
        <v>7301.61</v>
      </c>
      <c r="G125" s="52">
        <f t="shared" si="14"/>
        <v>654.9283398214286</v>
      </c>
      <c r="H125" s="52" t="e">
        <f>F125/E125*100</f>
        <v>#DIV/0!</v>
      </c>
    </row>
    <row r="126" spans="1:8" ht="15" customHeight="1">
      <c r="A126" s="18" t="s">
        <v>357</v>
      </c>
      <c r="B126" s="19" t="s">
        <v>129</v>
      </c>
      <c r="C126" s="118">
        <f>C127+C128+C129</f>
        <v>88913.59214280975</v>
      </c>
      <c r="D126" s="118">
        <v>0</v>
      </c>
      <c r="E126" s="118">
        <v>0</v>
      </c>
      <c r="F126" s="118">
        <f>F127+F128+F129</f>
        <v>121103.56</v>
      </c>
      <c r="G126" s="52">
        <f t="shared" si="14"/>
        <v>136.2036524241287</v>
      </c>
      <c r="H126" s="52" t="e">
        <f t="shared" si="15"/>
        <v>#DIV/0!</v>
      </c>
    </row>
    <row r="127" spans="1:8" ht="12.75" customHeight="1">
      <c r="A127" s="22" t="s">
        <v>358</v>
      </c>
      <c r="B127" s="23" t="s">
        <v>291</v>
      </c>
      <c r="C127" s="118">
        <f>6500/7.5345</f>
        <v>862.6982546950693</v>
      </c>
      <c r="D127" s="118">
        <v>0</v>
      </c>
      <c r="E127" s="118">
        <v>0</v>
      </c>
      <c r="F127" s="118">
        <v>865</v>
      </c>
      <c r="G127" s="52">
        <f t="shared" si="14"/>
        <v>100.2668076923077</v>
      </c>
      <c r="H127" s="52" t="e">
        <f t="shared" si="15"/>
        <v>#DIV/0!</v>
      </c>
    </row>
    <row r="128" spans="1:8" ht="12.75" customHeight="1">
      <c r="A128" s="22" t="s">
        <v>359</v>
      </c>
      <c r="B128" s="23" t="s">
        <v>130</v>
      </c>
      <c r="C128" s="118">
        <f>77734.42/7.5345</f>
        <v>10317.130532882074</v>
      </c>
      <c r="D128" s="118">
        <v>0</v>
      </c>
      <c r="E128" s="118">
        <v>0</v>
      </c>
      <c r="F128" s="118">
        <v>5991.25</v>
      </c>
      <c r="G128" s="52">
        <f t="shared" si="14"/>
        <v>58.070894624286126</v>
      </c>
      <c r="H128" s="52" t="e">
        <f t="shared" si="15"/>
        <v>#DIV/0!</v>
      </c>
    </row>
    <row r="129" spans="1:8" ht="12.75" customHeight="1">
      <c r="A129" s="22" t="s">
        <v>360</v>
      </c>
      <c r="B129" s="23" t="s">
        <v>131</v>
      </c>
      <c r="C129" s="118">
        <f>585685.04/7.5345</f>
        <v>77733.7633552326</v>
      </c>
      <c r="D129" s="118">
        <v>0</v>
      </c>
      <c r="E129" s="118">
        <v>0</v>
      </c>
      <c r="F129" s="118">
        <v>114247.31</v>
      </c>
      <c r="G129" s="52">
        <f t="shared" si="14"/>
        <v>146.97257030758374</v>
      </c>
      <c r="H129" s="52" t="e">
        <f t="shared" si="15"/>
        <v>#DIV/0!</v>
      </c>
    </row>
    <row r="130" spans="1:8" ht="15" customHeight="1">
      <c r="A130" s="18" t="s">
        <v>524</v>
      </c>
      <c r="B130" s="19" t="s">
        <v>525</v>
      </c>
      <c r="C130" s="118">
        <f>C131</f>
        <v>2360.5229278651536</v>
      </c>
      <c r="D130" s="118">
        <v>0</v>
      </c>
      <c r="E130" s="118">
        <v>0</v>
      </c>
      <c r="F130" s="118">
        <f>F131</f>
        <v>3589.56</v>
      </c>
      <c r="G130" s="52">
        <f t="shared" si="14"/>
        <v>152.06630520832866</v>
      </c>
      <c r="H130" s="52" t="e">
        <f t="shared" si="15"/>
        <v>#DIV/0!</v>
      </c>
    </row>
    <row r="131" spans="1:8" ht="12.75" customHeight="1">
      <c r="A131" s="22" t="s">
        <v>526</v>
      </c>
      <c r="B131" s="23" t="s">
        <v>527</v>
      </c>
      <c r="C131" s="118">
        <f>17785.36/7.5345</f>
        <v>2360.5229278651536</v>
      </c>
      <c r="D131" s="118">
        <v>0</v>
      </c>
      <c r="E131" s="118">
        <v>0</v>
      </c>
      <c r="F131" s="118">
        <v>3589.56</v>
      </c>
      <c r="G131" s="52">
        <f t="shared" si="14"/>
        <v>152.06630520832866</v>
      </c>
      <c r="H131" s="52" t="e">
        <f t="shared" si="15"/>
        <v>#DIV/0!</v>
      </c>
    </row>
    <row r="132" spans="1:8" ht="21" customHeight="1">
      <c r="A132" s="28" t="s">
        <v>361</v>
      </c>
      <c r="B132" s="25" t="s">
        <v>193</v>
      </c>
      <c r="C132" s="117">
        <f>C133+C143+C157</f>
        <v>385940.63308779616</v>
      </c>
      <c r="D132" s="117">
        <v>989984</v>
      </c>
      <c r="E132" s="117">
        <v>989984</v>
      </c>
      <c r="F132" s="117">
        <f>F133+F143+F157</f>
        <v>456617.62999999995</v>
      </c>
      <c r="G132" s="52">
        <f t="shared" si="14"/>
        <v>118.31291935931654</v>
      </c>
      <c r="H132" s="52">
        <f t="shared" si="15"/>
        <v>46.12373836344829</v>
      </c>
    </row>
    <row r="133" spans="1:8" ht="18" customHeight="1">
      <c r="A133" s="28" t="s">
        <v>362</v>
      </c>
      <c r="B133" s="25" t="s">
        <v>305</v>
      </c>
      <c r="C133" s="117">
        <f>C134+C136+C138</f>
        <v>34876.99117393324</v>
      </c>
      <c r="D133" s="117">
        <f>D134+D136+D138</f>
        <v>0</v>
      </c>
      <c r="E133" s="117">
        <f>E134+E136+E138</f>
        <v>0</v>
      </c>
      <c r="F133" s="117">
        <f>F134+F136+F138</f>
        <v>47191.34</v>
      </c>
      <c r="G133" s="52">
        <f t="shared" si="14"/>
        <v>135.3079448988432</v>
      </c>
      <c r="H133" s="52" t="e">
        <f t="shared" si="15"/>
        <v>#DIV/0!</v>
      </c>
    </row>
    <row r="134" spans="1:8" ht="15" customHeight="1">
      <c r="A134" s="29" t="s">
        <v>363</v>
      </c>
      <c r="B134" s="19" t="s">
        <v>194</v>
      </c>
      <c r="C134" s="118">
        <f>SUM(C135)</f>
        <v>3907.970004645298</v>
      </c>
      <c r="D134" s="118">
        <v>0</v>
      </c>
      <c r="E134" s="118">
        <v>0</v>
      </c>
      <c r="F134" s="118">
        <f>SUM(F135)</f>
        <v>1701.61</v>
      </c>
      <c r="G134" s="52">
        <f t="shared" si="14"/>
        <v>43.54204351561916</v>
      </c>
      <c r="H134" s="52" t="e">
        <f t="shared" si="15"/>
        <v>#DIV/0!</v>
      </c>
    </row>
    <row r="135" spans="1:8" ht="12.75" customHeight="1">
      <c r="A135" s="30" t="s">
        <v>364</v>
      </c>
      <c r="B135" s="23" t="s">
        <v>258</v>
      </c>
      <c r="C135" s="118">
        <f>29444.6/7.5345</f>
        <v>3907.970004645298</v>
      </c>
      <c r="D135" s="118">
        <v>0</v>
      </c>
      <c r="E135" s="118">
        <v>0</v>
      </c>
      <c r="F135" s="118">
        <v>1701.61</v>
      </c>
      <c r="G135" s="52">
        <f t="shared" si="14"/>
        <v>43.54204351561916</v>
      </c>
      <c r="H135" s="52" t="e">
        <f t="shared" si="15"/>
        <v>#DIV/0!</v>
      </c>
    </row>
    <row r="136" spans="1:8" ht="15" customHeight="1">
      <c r="A136" s="29" t="s">
        <v>365</v>
      </c>
      <c r="B136" s="19" t="s">
        <v>306</v>
      </c>
      <c r="C136" s="118">
        <f>SUM(C137)</f>
        <v>2506.6241953679737</v>
      </c>
      <c r="D136" s="118">
        <v>0</v>
      </c>
      <c r="E136" s="118">
        <v>0</v>
      </c>
      <c r="F136" s="118">
        <f>SUM(F137)</f>
        <v>2344.32</v>
      </c>
      <c r="G136" s="52">
        <f t="shared" si="14"/>
        <v>93.52498888074655</v>
      </c>
      <c r="H136" s="52" t="e">
        <f t="shared" si="15"/>
        <v>#DIV/0!</v>
      </c>
    </row>
    <row r="137" spans="1:8" ht="12.75" customHeight="1">
      <c r="A137" s="30" t="s">
        <v>366</v>
      </c>
      <c r="B137" s="23" t="s">
        <v>253</v>
      </c>
      <c r="C137" s="118">
        <f>18886.16/7.5345</f>
        <v>2506.6241953679737</v>
      </c>
      <c r="D137" s="118">
        <v>0</v>
      </c>
      <c r="E137" s="118">
        <v>0</v>
      </c>
      <c r="F137" s="118">
        <v>2344.32</v>
      </c>
      <c r="G137" s="52">
        <f t="shared" si="14"/>
        <v>93.52498888074655</v>
      </c>
      <c r="H137" s="52" t="e">
        <f t="shared" si="15"/>
        <v>#DIV/0!</v>
      </c>
    </row>
    <row r="138" spans="1:8" ht="15" customHeight="1">
      <c r="A138" s="29" t="s">
        <v>367</v>
      </c>
      <c r="B138" s="19" t="s">
        <v>307</v>
      </c>
      <c r="C138" s="118">
        <f>SUM(C139:C142)</f>
        <v>28462.396973919967</v>
      </c>
      <c r="D138" s="118">
        <v>0</v>
      </c>
      <c r="E138" s="118">
        <v>0</v>
      </c>
      <c r="F138" s="118">
        <f>SUM(F139:F142)</f>
        <v>43145.409999999996</v>
      </c>
      <c r="G138" s="52">
        <f t="shared" si="14"/>
        <v>151.58740860628865</v>
      </c>
      <c r="H138" s="52" t="e">
        <f t="shared" si="15"/>
        <v>#DIV/0!</v>
      </c>
    </row>
    <row r="139" spans="1:8" ht="12.75" customHeight="1">
      <c r="A139" s="30" t="s">
        <v>368</v>
      </c>
      <c r="B139" s="23" t="s">
        <v>1346</v>
      </c>
      <c r="C139" s="118">
        <f>214449.93/7.5345</f>
        <v>28462.396973919967</v>
      </c>
      <c r="D139" s="118">
        <v>0</v>
      </c>
      <c r="E139" s="118">
        <v>0</v>
      </c>
      <c r="F139" s="118">
        <v>42034.13</v>
      </c>
      <c r="G139" s="52">
        <f t="shared" si="14"/>
        <v>147.68302908049444</v>
      </c>
      <c r="H139" s="52" t="e">
        <f t="shared" si="15"/>
        <v>#DIV/0!</v>
      </c>
    </row>
    <row r="140" spans="1:8" ht="12.75" customHeight="1">
      <c r="A140" s="30" t="s">
        <v>590</v>
      </c>
      <c r="B140" s="23" t="s">
        <v>591</v>
      </c>
      <c r="C140" s="118">
        <v>0</v>
      </c>
      <c r="D140" s="118">
        <v>0</v>
      </c>
      <c r="E140" s="118">
        <v>0</v>
      </c>
      <c r="F140" s="118">
        <v>1111.28</v>
      </c>
      <c r="G140" s="52" t="e">
        <f>F140/C140*100</f>
        <v>#DIV/0!</v>
      </c>
      <c r="H140" s="52" t="e">
        <f>F140/E140*100</f>
        <v>#DIV/0!</v>
      </c>
    </row>
    <row r="141" spans="1:8" ht="12.75" customHeight="1">
      <c r="A141" s="30" t="s">
        <v>577</v>
      </c>
      <c r="B141" s="23" t="s">
        <v>578</v>
      </c>
      <c r="C141" s="118">
        <v>0</v>
      </c>
      <c r="D141" s="118">
        <v>0</v>
      </c>
      <c r="E141" s="118">
        <v>0</v>
      </c>
      <c r="F141" s="118">
        <v>0</v>
      </c>
      <c r="G141" s="52" t="e">
        <f>F141/C141*100</f>
        <v>#DIV/0!</v>
      </c>
      <c r="H141" s="52" t="e">
        <f>F141/E141*100</f>
        <v>#DIV/0!</v>
      </c>
    </row>
    <row r="142" spans="1:8" ht="12.75" customHeight="1">
      <c r="A142" s="30" t="s">
        <v>577</v>
      </c>
      <c r="B142" s="23" t="s">
        <v>1009</v>
      </c>
      <c r="C142" s="118">
        <v>0</v>
      </c>
      <c r="D142" s="118">
        <v>0</v>
      </c>
      <c r="E142" s="118">
        <v>0</v>
      </c>
      <c r="F142" s="118">
        <v>0</v>
      </c>
      <c r="G142" s="52" t="e">
        <f>F142/C142*100</f>
        <v>#DIV/0!</v>
      </c>
      <c r="H142" s="52" t="e">
        <f>F142/E142*100</f>
        <v>#DIV/0!</v>
      </c>
    </row>
    <row r="143" spans="1:8" ht="18" customHeight="1">
      <c r="A143" s="28" t="s">
        <v>369</v>
      </c>
      <c r="B143" s="25" t="s">
        <v>195</v>
      </c>
      <c r="C143" s="117">
        <f>C144+C146+C148</f>
        <v>65755.74490676222</v>
      </c>
      <c r="D143" s="117">
        <f>D144+D146+D148</f>
        <v>0</v>
      </c>
      <c r="E143" s="117">
        <f>E144+E146+E148</f>
        <v>0</v>
      </c>
      <c r="F143" s="117">
        <f>F144+F146+F148</f>
        <v>93654.80999999998</v>
      </c>
      <c r="G143" s="52">
        <f t="shared" si="14"/>
        <v>142.42833098886948</v>
      </c>
      <c r="H143" s="52" t="e">
        <f t="shared" si="15"/>
        <v>#DIV/0!</v>
      </c>
    </row>
    <row r="144" spans="1:8" ht="15" customHeight="1">
      <c r="A144" s="29" t="s">
        <v>370</v>
      </c>
      <c r="B144" s="19" t="s">
        <v>282</v>
      </c>
      <c r="C144" s="118">
        <f>C145</f>
        <v>939.228880483111</v>
      </c>
      <c r="D144" s="118">
        <v>0</v>
      </c>
      <c r="E144" s="118">
        <v>0</v>
      </c>
      <c r="F144" s="118">
        <f>F145</f>
        <v>685.98</v>
      </c>
      <c r="G144" s="52">
        <f t="shared" si="14"/>
        <v>73.03651050925443</v>
      </c>
      <c r="H144" s="52" t="e">
        <f t="shared" si="15"/>
        <v>#DIV/0!</v>
      </c>
    </row>
    <row r="145" spans="1:8" ht="12.75" customHeight="1">
      <c r="A145" s="29" t="s">
        <v>371</v>
      </c>
      <c r="B145" s="23" t="s">
        <v>343</v>
      </c>
      <c r="C145" s="118">
        <f>7076.62/7.5345</f>
        <v>939.228880483111</v>
      </c>
      <c r="D145" s="118">
        <v>0</v>
      </c>
      <c r="E145" s="118">
        <v>0</v>
      </c>
      <c r="F145" s="118">
        <v>685.98</v>
      </c>
      <c r="G145" s="52">
        <f t="shared" si="14"/>
        <v>73.03651050925443</v>
      </c>
      <c r="H145" s="52" t="e">
        <f t="shared" si="15"/>
        <v>#DIV/0!</v>
      </c>
    </row>
    <row r="146" spans="1:8" ht="15" customHeight="1">
      <c r="A146" s="29" t="s">
        <v>658</v>
      </c>
      <c r="B146" s="19" t="s">
        <v>659</v>
      </c>
      <c r="C146" s="118">
        <f>C147</f>
        <v>0</v>
      </c>
      <c r="D146" s="118">
        <v>0</v>
      </c>
      <c r="E146" s="118">
        <v>0</v>
      </c>
      <c r="F146" s="118">
        <f>F147</f>
        <v>0</v>
      </c>
      <c r="G146" s="52" t="e">
        <f t="shared" si="14"/>
        <v>#DIV/0!</v>
      </c>
      <c r="H146" s="52" t="e">
        <f>F146/E146*100</f>
        <v>#DIV/0!</v>
      </c>
    </row>
    <row r="147" spans="1:8" ht="12.75" customHeight="1">
      <c r="A147" s="29" t="s">
        <v>660</v>
      </c>
      <c r="B147" s="23" t="s">
        <v>661</v>
      </c>
      <c r="C147" s="118">
        <v>0</v>
      </c>
      <c r="D147" s="118">
        <v>0</v>
      </c>
      <c r="E147" s="118">
        <v>0</v>
      </c>
      <c r="F147" s="118">
        <v>0</v>
      </c>
      <c r="G147" s="52" t="e">
        <f t="shared" si="14"/>
        <v>#DIV/0!</v>
      </c>
      <c r="H147" s="52" t="e">
        <f>F147/E147*100</f>
        <v>#DIV/0!</v>
      </c>
    </row>
    <row r="148" spans="1:8" ht="15" customHeight="1">
      <c r="A148" s="29" t="s">
        <v>372</v>
      </c>
      <c r="B148" s="19" t="s">
        <v>287</v>
      </c>
      <c r="C148" s="118">
        <f>SUM(C152:C156)+C149</f>
        <v>64816.51602627912</v>
      </c>
      <c r="D148" s="118">
        <v>0</v>
      </c>
      <c r="E148" s="118">
        <v>0</v>
      </c>
      <c r="F148" s="118">
        <f>SUM(F152:F156)+F149</f>
        <v>92968.82999999999</v>
      </c>
      <c r="G148" s="52">
        <f t="shared" si="14"/>
        <v>143.433858682418</v>
      </c>
      <c r="H148" s="52" t="e">
        <f t="shared" si="15"/>
        <v>#DIV/0!</v>
      </c>
    </row>
    <row r="149" spans="1:8" ht="12.75" customHeight="1">
      <c r="A149" s="30" t="s">
        <v>373</v>
      </c>
      <c r="B149" s="23" t="s">
        <v>662</v>
      </c>
      <c r="C149" s="118">
        <f>420207/7.5345</f>
        <v>55771.05315548477</v>
      </c>
      <c r="D149" s="118">
        <v>0</v>
      </c>
      <c r="E149" s="118">
        <v>0</v>
      </c>
      <c r="F149" s="118">
        <v>59294.32</v>
      </c>
      <c r="G149" s="52">
        <f>F149/C149*100</f>
        <v>106.31737549350677</v>
      </c>
      <c r="H149" s="52" t="e">
        <f>F149/E149*100</f>
        <v>#DIV/0!</v>
      </c>
    </row>
    <row r="150" spans="1:8" ht="27" customHeight="1">
      <c r="A150" s="90" t="s">
        <v>790</v>
      </c>
      <c r="B150" s="90" t="s">
        <v>883</v>
      </c>
      <c r="C150" s="149" t="s">
        <v>1386</v>
      </c>
      <c r="D150" s="166" t="s">
        <v>1387</v>
      </c>
      <c r="E150" s="166" t="s">
        <v>1388</v>
      </c>
      <c r="F150" s="46" t="s">
        <v>1389</v>
      </c>
      <c r="G150" s="53" t="s">
        <v>793</v>
      </c>
      <c r="H150" s="53" t="s">
        <v>794</v>
      </c>
    </row>
    <row r="151" spans="1:8" ht="9.75" customHeight="1">
      <c r="A151" s="94">
        <v>1</v>
      </c>
      <c r="B151" s="94">
        <v>2</v>
      </c>
      <c r="C151" s="150">
        <v>3</v>
      </c>
      <c r="D151" s="150">
        <v>4</v>
      </c>
      <c r="E151" s="150">
        <v>5</v>
      </c>
      <c r="F151" s="53">
        <v>6</v>
      </c>
      <c r="G151" s="53">
        <v>7</v>
      </c>
      <c r="H151" s="53">
        <v>8</v>
      </c>
    </row>
    <row r="152" spans="1:8" ht="12.75" customHeight="1">
      <c r="A152" s="30" t="s">
        <v>373</v>
      </c>
      <c r="B152" s="23" t="s">
        <v>663</v>
      </c>
      <c r="C152" s="118">
        <f>8120/7.5345</f>
        <v>1077.7092043267635</v>
      </c>
      <c r="D152" s="118">
        <v>0</v>
      </c>
      <c r="E152" s="118">
        <v>0</v>
      </c>
      <c r="F152" s="118">
        <v>958.82</v>
      </c>
      <c r="G152" s="52">
        <f>F152/C152*100</f>
        <v>88.96834100985222</v>
      </c>
      <c r="H152" s="52" t="e">
        <f>F152/E152*100</f>
        <v>#DIV/0!</v>
      </c>
    </row>
    <row r="153" spans="1:8" ht="12.75" customHeight="1">
      <c r="A153" s="30" t="s">
        <v>374</v>
      </c>
      <c r="B153" s="23" t="s">
        <v>276</v>
      </c>
      <c r="C153" s="118">
        <f>8813.04/7.5345</f>
        <v>1169.6914194704361</v>
      </c>
      <c r="D153" s="118">
        <v>0</v>
      </c>
      <c r="E153" s="118">
        <v>0</v>
      </c>
      <c r="F153" s="118">
        <v>27892.94</v>
      </c>
      <c r="G153" s="52">
        <f>F153/C153*100</f>
        <v>2384.6409006426834</v>
      </c>
      <c r="H153" s="52" t="e">
        <f>F153/E153*100</f>
        <v>#DIV/0!</v>
      </c>
    </row>
    <row r="154" spans="1:8" ht="12.75" customHeight="1">
      <c r="A154" s="30" t="s">
        <v>908</v>
      </c>
      <c r="B154" s="23" t="s">
        <v>1024</v>
      </c>
      <c r="C154" s="118">
        <f>51220/7.5345</f>
        <v>6798.062246997146</v>
      </c>
      <c r="D154" s="118">
        <v>0</v>
      </c>
      <c r="E154" s="118">
        <v>0</v>
      </c>
      <c r="F154" s="118">
        <v>4822.75</v>
      </c>
      <c r="G154" s="52">
        <f t="shared" si="14"/>
        <v>70.94301029871146</v>
      </c>
      <c r="H154" s="52" t="e">
        <f t="shared" si="15"/>
        <v>#DIV/0!</v>
      </c>
    </row>
    <row r="155" spans="1:8" ht="12.75" customHeight="1">
      <c r="A155" s="30" t="s">
        <v>909</v>
      </c>
      <c r="B155" s="23" t="s">
        <v>910</v>
      </c>
      <c r="C155" s="118">
        <v>0</v>
      </c>
      <c r="D155" s="118">
        <v>0</v>
      </c>
      <c r="E155" s="118">
        <v>0</v>
      </c>
      <c r="F155" s="118">
        <v>0</v>
      </c>
      <c r="G155" s="52" t="e">
        <f>F155/C155*100</f>
        <v>#DIV/0!</v>
      </c>
      <c r="H155" s="52" t="e">
        <f>F155/E155*100</f>
        <v>#DIV/0!</v>
      </c>
    </row>
    <row r="156" spans="1:8" ht="12.75" customHeight="1">
      <c r="A156" s="30" t="s">
        <v>909</v>
      </c>
      <c r="B156" s="23" t="s">
        <v>1010</v>
      </c>
      <c r="C156" s="118">
        <v>0</v>
      </c>
      <c r="D156" s="118">
        <v>0</v>
      </c>
      <c r="E156" s="118">
        <v>0</v>
      </c>
      <c r="F156" s="118">
        <v>0</v>
      </c>
      <c r="G156" s="52" t="e">
        <f>F156/C156*100</f>
        <v>#DIV/0!</v>
      </c>
      <c r="H156" s="52" t="e">
        <f>F156/E156*100</f>
        <v>#DIV/0!</v>
      </c>
    </row>
    <row r="157" spans="1:8" ht="18" customHeight="1">
      <c r="A157" s="28" t="s">
        <v>375</v>
      </c>
      <c r="B157" s="25" t="s">
        <v>283</v>
      </c>
      <c r="C157" s="117">
        <f>C158+C160</f>
        <v>285307.8970071007</v>
      </c>
      <c r="D157" s="117">
        <f>D158+D160</f>
        <v>0</v>
      </c>
      <c r="E157" s="117">
        <f>E158+E160</f>
        <v>0</v>
      </c>
      <c r="F157" s="117">
        <f>F158+F160</f>
        <v>315771.48</v>
      </c>
      <c r="G157" s="52">
        <f t="shared" si="14"/>
        <v>110.67744121787877</v>
      </c>
      <c r="H157" s="52" t="e">
        <f t="shared" si="15"/>
        <v>#DIV/0!</v>
      </c>
    </row>
    <row r="158" spans="1:8" ht="15" customHeight="1">
      <c r="A158" s="29" t="s">
        <v>376</v>
      </c>
      <c r="B158" s="19" t="s">
        <v>284</v>
      </c>
      <c r="C158" s="118">
        <f>C159</f>
        <v>106886.92680337116</v>
      </c>
      <c r="D158" s="118">
        <v>0</v>
      </c>
      <c r="E158" s="118">
        <v>0</v>
      </c>
      <c r="F158" s="118">
        <f>F159</f>
        <v>112624.79</v>
      </c>
      <c r="G158" s="52">
        <f t="shared" si="14"/>
        <v>105.36816182130879</v>
      </c>
      <c r="H158" s="52" t="e">
        <f t="shared" si="15"/>
        <v>#DIV/0!</v>
      </c>
    </row>
    <row r="159" spans="1:8" ht="12.75" customHeight="1">
      <c r="A159" s="30" t="s">
        <v>377</v>
      </c>
      <c r="B159" s="23" t="s">
        <v>254</v>
      </c>
      <c r="C159" s="118">
        <f>805339.55/7.5345</f>
        <v>106886.92680337116</v>
      </c>
      <c r="D159" s="118">
        <v>0</v>
      </c>
      <c r="E159" s="118">
        <v>0</v>
      </c>
      <c r="F159" s="118">
        <v>112624.79</v>
      </c>
      <c r="G159" s="52">
        <f t="shared" si="14"/>
        <v>105.36816182130879</v>
      </c>
      <c r="H159" s="52" t="e">
        <f t="shared" si="15"/>
        <v>#DIV/0!</v>
      </c>
    </row>
    <row r="160" spans="1:8" ht="15" customHeight="1">
      <c r="A160" s="29" t="s">
        <v>378</v>
      </c>
      <c r="B160" s="19" t="s">
        <v>285</v>
      </c>
      <c r="C160" s="118">
        <f>C161</f>
        <v>178420.97020372952</v>
      </c>
      <c r="D160" s="118">
        <v>0</v>
      </c>
      <c r="E160" s="118">
        <v>0</v>
      </c>
      <c r="F160" s="118">
        <f>F161</f>
        <v>203146.69</v>
      </c>
      <c r="G160" s="52">
        <f t="shared" si="14"/>
        <v>113.85807944438228</v>
      </c>
      <c r="H160" s="52" t="e">
        <f t="shared" si="15"/>
        <v>#DIV/0!</v>
      </c>
    </row>
    <row r="161" spans="1:8" ht="12.75" customHeight="1">
      <c r="A161" s="30" t="s">
        <v>379</v>
      </c>
      <c r="B161" s="23" t="s">
        <v>255</v>
      </c>
      <c r="C161" s="118">
        <f>1344312.8/7.5345</f>
        <v>178420.97020372952</v>
      </c>
      <c r="D161" s="118">
        <v>0</v>
      </c>
      <c r="E161" s="118">
        <v>0</v>
      </c>
      <c r="F161" s="118">
        <v>203146.69</v>
      </c>
      <c r="G161" s="52">
        <f t="shared" si="14"/>
        <v>113.85807944438228</v>
      </c>
      <c r="H161" s="52" t="e">
        <f t="shared" si="15"/>
        <v>#DIV/0!</v>
      </c>
    </row>
    <row r="162" spans="1:8" ht="21" customHeight="1">
      <c r="A162" s="28" t="s">
        <v>380</v>
      </c>
      <c r="B162" s="25" t="s">
        <v>549</v>
      </c>
      <c r="C162" s="117">
        <f>C163+C171</f>
        <v>250192.2657849813</v>
      </c>
      <c r="D162" s="117">
        <v>1140170</v>
      </c>
      <c r="E162" s="117">
        <v>1140170</v>
      </c>
      <c r="F162" s="117">
        <f>F163+F171</f>
        <v>343379.4</v>
      </c>
      <c r="G162" s="52">
        <f t="shared" si="14"/>
        <v>137.24620899956398</v>
      </c>
      <c r="H162" s="52">
        <f t="shared" si="15"/>
        <v>30.116508941649055</v>
      </c>
    </row>
    <row r="163" spans="1:8" ht="18" customHeight="1">
      <c r="A163" s="28" t="s">
        <v>381</v>
      </c>
      <c r="B163" s="25" t="s">
        <v>533</v>
      </c>
      <c r="C163" s="117">
        <f>C164</f>
        <v>248732.31489242043</v>
      </c>
      <c r="D163" s="117">
        <f>D164</f>
        <v>0</v>
      </c>
      <c r="E163" s="117">
        <f>E164</f>
        <v>0</v>
      </c>
      <c r="F163" s="117">
        <f>F164</f>
        <v>342561.71</v>
      </c>
      <c r="G163" s="52">
        <f t="shared" si="14"/>
        <v>137.72304179622253</v>
      </c>
      <c r="H163" s="52" t="e">
        <f t="shared" si="15"/>
        <v>#DIV/0!</v>
      </c>
    </row>
    <row r="164" spans="1:8" ht="15" customHeight="1">
      <c r="A164" s="29" t="s">
        <v>382</v>
      </c>
      <c r="B164" s="19" t="s">
        <v>286</v>
      </c>
      <c r="C164" s="118">
        <f>SUM(C165:C170)</f>
        <v>248732.31489242043</v>
      </c>
      <c r="D164" s="118">
        <v>0</v>
      </c>
      <c r="E164" s="118">
        <v>0</v>
      </c>
      <c r="F164" s="118">
        <f>SUM(F165:F170)</f>
        <v>342561.71</v>
      </c>
      <c r="G164" s="52">
        <f t="shared" si="14"/>
        <v>137.72304179622253</v>
      </c>
      <c r="H164" s="52" t="e">
        <f t="shared" si="15"/>
        <v>#DIV/0!</v>
      </c>
    </row>
    <row r="165" spans="1:8" ht="12.75" customHeight="1">
      <c r="A165" s="30" t="s">
        <v>383</v>
      </c>
      <c r="B165" s="23" t="s">
        <v>592</v>
      </c>
      <c r="C165" s="118">
        <f>13660/7.534</f>
        <v>1813.113883727104</v>
      </c>
      <c r="D165" s="118">
        <v>0</v>
      </c>
      <c r="E165" s="118">
        <v>0</v>
      </c>
      <c r="F165" s="118">
        <v>60</v>
      </c>
      <c r="G165" s="52">
        <f t="shared" si="14"/>
        <v>3.309224011713031</v>
      </c>
      <c r="H165" s="52" t="e">
        <f t="shared" si="15"/>
        <v>#DIV/0!</v>
      </c>
    </row>
    <row r="166" spans="1:8" ht="12.75" customHeight="1">
      <c r="A166" s="30" t="s">
        <v>383</v>
      </c>
      <c r="B166" s="23" t="s">
        <v>277</v>
      </c>
      <c r="C166" s="118">
        <f>1686724/7.5345</f>
        <v>223866.7463003517</v>
      </c>
      <c r="D166" s="118">
        <v>0</v>
      </c>
      <c r="E166" s="118">
        <v>0</v>
      </c>
      <c r="F166" s="118">
        <v>326305.88</v>
      </c>
      <c r="G166" s="52">
        <f t="shared" si="14"/>
        <v>145.75897733476256</v>
      </c>
      <c r="H166" s="52" t="e">
        <f t="shared" si="15"/>
        <v>#DIV/0!</v>
      </c>
    </row>
    <row r="167" spans="1:8" ht="12.75" customHeight="1">
      <c r="A167" s="30" t="s">
        <v>383</v>
      </c>
      <c r="B167" s="23" t="s">
        <v>1348</v>
      </c>
      <c r="C167" s="118">
        <f>81213/7.5345</f>
        <v>10778.817439777025</v>
      </c>
      <c r="D167" s="118">
        <v>0</v>
      </c>
      <c r="E167" s="118">
        <v>0</v>
      </c>
      <c r="F167" s="118">
        <v>11045</v>
      </c>
      <c r="G167" s="52">
        <f>F167/C167*100</f>
        <v>102.46949687857855</v>
      </c>
      <c r="H167" s="52" t="e">
        <f>F167/E167*100</f>
        <v>#DIV/0!</v>
      </c>
    </row>
    <row r="168" spans="1:8" ht="12.75" customHeight="1">
      <c r="A168" s="30" t="s">
        <v>383</v>
      </c>
      <c r="B168" s="23" t="s">
        <v>1011</v>
      </c>
      <c r="C168" s="118">
        <v>0</v>
      </c>
      <c r="D168" s="118">
        <v>0</v>
      </c>
      <c r="E168" s="118">
        <v>0</v>
      </c>
      <c r="F168" s="118">
        <v>0</v>
      </c>
      <c r="G168" s="52" t="e">
        <f>F168/C168*100</f>
        <v>#DIV/0!</v>
      </c>
      <c r="H168" s="52" t="e">
        <f>F168/E168*100</f>
        <v>#DIV/0!</v>
      </c>
    </row>
    <row r="169" spans="1:8" ht="12.75" customHeight="1">
      <c r="A169" s="30" t="s">
        <v>383</v>
      </c>
      <c r="B169" s="23" t="s">
        <v>330</v>
      </c>
      <c r="C169" s="118">
        <f>92475.72/7.5345</f>
        <v>12273.637268564602</v>
      </c>
      <c r="D169" s="118">
        <v>0</v>
      </c>
      <c r="E169" s="118">
        <v>0</v>
      </c>
      <c r="F169" s="118">
        <v>5150.83</v>
      </c>
      <c r="G169" s="52">
        <f t="shared" si="14"/>
        <v>41.96661419343369</v>
      </c>
      <c r="H169" s="52" t="e">
        <f t="shared" si="15"/>
        <v>#DIV/0!</v>
      </c>
    </row>
    <row r="170" spans="1:8" ht="12.75" customHeight="1">
      <c r="A170" s="30" t="s">
        <v>383</v>
      </c>
      <c r="B170" s="23" t="s">
        <v>579</v>
      </c>
      <c r="C170" s="118">
        <v>0</v>
      </c>
      <c r="D170" s="118">
        <v>0</v>
      </c>
      <c r="E170" s="118">
        <v>0</v>
      </c>
      <c r="F170" s="118">
        <v>0</v>
      </c>
      <c r="G170" s="52" t="e">
        <f>F170/C170*100</f>
        <v>#DIV/0!</v>
      </c>
      <c r="H170" s="52" t="e">
        <f>F170/E170*100</f>
        <v>#DIV/0!</v>
      </c>
    </row>
    <row r="171" spans="1:8" ht="18" customHeight="1">
      <c r="A171" s="28" t="s">
        <v>384</v>
      </c>
      <c r="B171" s="25" t="s">
        <v>197</v>
      </c>
      <c r="C171" s="119">
        <f>C172+C177</f>
        <v>1459.9508925608866</v>
      </c>
      <c r="D171" s="119">
        <f>D172+D177</f>
        <v>0</v>
      </c>
      <c r="E171" s="119">
        <f>E172+E177</f>
        <v>0</v>
      </c>
      <c r="F171" s="119">
        <f>F172+F177</f>
        <v>817.69</v>
      </c>
      <c r="G171" s="52">
        <f aca="true" t="shared" si="16" ref="G171:G198">F171/C171*100</f>
        <v>56.00804822727273</v>
      </c>
      <c r="H171" s="52" t="e">
        <f t="shared" si="15"/>
        <v>#DIV/0!</v>
      </c>
    </row>
    <row r="172" spans="1:8" ht="15" customHeight="1">
      <c r="A172" s="29" t="s">
        <v>385</v>
      </c>
      <c r="B172" s="19" t="s">
        <v>198</v>
      </c>
      <c r="C172" s="118">
        <f>SUM(C173:C176)</f>
        <v>0</v>
      </c>
      <c r="D172" s="118">
        <v>0</v>
      </c>
      <c r="E172" s="118">
        <v>0</v>
      </c>
      <c r="F172" s="118">
        <f>SUM(F173:F176)</f>
        <v>817.69</v>
      </c>
      <c r="G172" s="52" t="e">
        <f t="shared" si="16"/>
        <v>#DIV/0!</v>
      </c>
      <c r="H172" s="52" t="e">
        <f t="shared" si="15"/>
        <v>#DIV/0!</v>
      </c>
    </row>
    <row r="173" spans="1:8" ht="13.5" customHeight="1">
      <c r="A173" s="30" t="s">
        <v>386</v>
      </c>
      <c r="B173" s="23" t="s">
        <v>162</v>
      </c>
      <c r="C173" s="118">
        <v>0</v>
      </c>
      <c r="D173" s="118">
        <v>0</v>
      </c>
      <c r="E173" s="118">
        <v>0</v>
      </c>
      <c r="F173" s="118">
        <v>0</v>
      </c>
      <c r="G173" s="52" t="e">
        <f t="shared" si="16"/>
        <v>#DIV/0!</v>
      </c>
      <c r="H173" s="52" t="e">
        <f t="shared" si="15"/>
        <v>#DIV/0!</v>
      </c>
    </row>
    <row r="174" spans="1:8" ht="13.5" customHeight="1">
      <c r="A174" s="30" t="s">
        <v>385</v>
      </c>
      <c r="B174" s="23" t="s">
        <v>664</v>
      </c>
      <c r="C174" s="118">
        <v>0</v>
      </c>
      <c r="D174" s="118">
        <v>0</v>
      </c>
      <c r="E174" s="118">
        <v>0</v>
      </c>
      <c r="F174" s="118">
        <v>300</v>
      </c>
      <c r="G174" s="52" t="e">
        <f aca="true" t="shared" si="17" ref="G174:G181">F174/C174*100</f>
        <v>#DIV/0!</v>
      </c>
      <c r="H174" s="52" t="e">
        <f aca="true" t="shared" si="18" ref="H174:H181">F174/E174*100</f>
        <v>#DIV/0!</v>
      </c>
    </row>
    <row r="175" spans="1:8" ht="13.5" customHeight="1">
      <c r="A175" s="30" t="s">
        <v>385</v>
      </c>
      <c r="B175" s="23" t="s">
        <v>665</v>
      </c>
      <c r="C175" s="118">
        <v>0</v>
      </c>
      <c r="D175" s="118">
        <v>0</v>
      </c>
      <c r="E175" s="118">
        <v>0</v>
      </c>
      <c r="F175" s="118">
        <v>517.69</v>
      </c>
      <c r="G175" s="52" t="e">
        <f t="shared" si="17"/>
        <v>#DIV/0!</v>
      </c>
      <c r="H175" s="52" t="e">
        <f t="shared" si="18"/>
        <v>#DIV/0!</v>
      </c>
    </row>
    <row r="176" spans="1:8" ht="13.5" customHeight="1">
      <c r="A176" s="30" t="s">
        <v>911</v>
      </c>
      <c r="B176" s="23" t="s">
        <v>912</v>
      </c>
      <c r="C176" s="118">
        <v>0</v>
      </c>
      <c r="D176" s="118">
        <v>0</v>
      </c>
      <c r="E176" s="118">
        <v>0</v>
      </c>
      <c r="F176" s="118">
        <v>0</v>
      </c>
      <c r="G176" s="52" t="e">
        <f t="shared" si="17"/>
        <v>#DIV/0!</v>
      </c>
      <c r="H176" s="52" t="e">
        <f t="shared" si="18"/>
        <v>#DIV/0!</v>
      </c>
    </row>
    <row r="177" spans="1:8" ht="13.5" customHeight="1">
      <c r="A177" s="30" t="s">
        <v>1154</v>
      </c>
      <c r="B177" s="23" t="s">
        <v>1155</v>
      </c>
      <c r="C177" s="118">
        <f>SUM(C178:C182)</f>
        <v>1459.9508925608866</v>
      </c>
      <c r="D177" s="118">
        <v>0</v>
      </c>
      <c r="E177" s="118">
        <v>0</v>
      </c>
      <c r="F177" s="118">
        <f>SUM(F178:F182)</f>
        <v>0</v>
      </c>
      <c r="G177" s="52">
        <f t="shared" si="17"/>
        <v>0</v>
      </c>
      <c r="H177" s="52" t="e">
        <f t="shared" si="18"/>
        <v>#DIV/0!</v>
      </c>
    </row>
    <row r="178" spans="1:8" ht="13.5" customHeight="1">
      <c r="A178" s="30" t="s">
        <v>1171</v>
      </c>
      <c r="B178" s="23" t="s">
        <v>1172</v>
      </c>
      <c r="C178" s="118">
        <v>0</v>
      </c>
      <c r="D178" s="118">
        <v>0</v>
      </c>
      <c r="E178" s="118">
        <v>0</v>
      </c>
      <c r="F178" s="118">
        <v>0</v>
      </c>
      <c r="G178" s="52" t="e">
        <f>F178/C178*100</f>
        <v>#DIV/0!</v>
      </c>
      <c r="H178" s="52" t="e">
        <f>F178/E178*100</f>
        <v>#DIV/0!</v>
      </c>
    </row>
    <row r="179" spans="1:8" ht="13.5" customHeight="1">
      <c r="A179" s="30" t="s">
        <v>1152</v>
      </c>
      <c r="B179" s="23" t="s">
        <v>1153</v>
      </c>
      <c r="C179" s="118">
        <v>0</v>
      </c>
      <c r="D179" s="118">
        <v>0</v>
      </c>
      <c r="E179" s="118">
        <v>0</v>
      </c>
      <c r="F179" s="118">
        <v>0</v>
      </c>
      <c r="G179" s="52" t="e">
        <f t="shared" si="17"/>
        <v>#DIV/0!</v>
      </c>
      <c r="H179" s="52" t="e">
        <f t="shared" si="18"/>
        <v>#DIV/0!</v>
      </c>
    </row>
    <row r="180" spans="1:8" ht="13.5" customHeight="1">
      <c r="A180" s="30" t="s">
        <v>1012</v>
      </c>
      <c r="B180" s="23" t="s">
        <v>1013</v>
      </c>
      <c r="C180" s="118">
        <v>0</v>
      </c>
      <c r="D180" s="118">
        <v>0</v>
      </c>
      <c r="E180" s="118">
        <v>0</v>
      </c>
      <c r="F180" s="118">
        <v>0</v>
      </c>
      <c r="G180" s="52" t="e">
        <f t="shared" si="17"/>
        <v>#DIV/0!</v>
      </c>
      <c r="H180" s="52" t="e">
        <f t="shared" si="18"/>
        <v>#DIV/0!</v>
      </c>
    </row>
    <row r="181" spans="1:8" ht="13.5" customHeight="1">
      <c r="A181" s="30" t="s">
        <v>1012</v>
      </c>
      <c r="B181" s="23" t="s">
        <v>1347</v>
      </c>
      <c r="C181" s="118">
        <v>0</v>
      </c>
      <c r="D181" s="118">
        <v>0</v>
      </c>
      <c r="E181" s="118">
        <v>0</v>
      </c>
      <c r="F181" s="118">
        <v>0</v>
      </c>
      <c r="G181" s="52" t="e">
        <f t="shared" si="17"/>
        <v>#DIV/0!</v>
      </c>
      <c r="H181" s="52" t="e">
        <f t="shared" si="18"/>
        <v>#DIV/0!</v>
      </c>
    </row>
    <row r="182" spans="1:8" ht="13.5" customHeight="1">
      <c r="A182" s="30" t="s">
        <v>1173</v>
      </c>
      <c r="B182" s="140" t="s">
        <v>1174</v>
      </c>
      <c r="C182" s="118">
        <f>11000/7.5345</f>
        <v>1459.9508925608866</v>
      </c>
      <c r="D182" s="118">
        <v>0</v>
      </c>
      <c r="E182" s="118">
        <v>0</v>
      </c>
      <c r="F182" s="118">
        <v>0</v>
      </c>
      <c r="G182" s="52">
        <f>F182/C182*100</f>
        <v>0</v>
      </c>
      <c r="H182" s="52" t="e">
        <f>F182/E182*100</f>
        <v>#DIV/0!</v>
      </c>
    </row>
    <row r="183" spans="1:8" ht="21" customHeight="1">
      <c r="A183" s="28" t="s">
        <v>387</v>
      </c>
      <c r="B183" s="25" t="s">
        <v>288</v>
      </c>
      <c r="C183" s="117">
        <f>C184+C188</f>
        <v>2087.2851549538786</v>
      </c>
      <c r="D183" s="117">
        <v>19849</v>
      </c>
      <c r="E183" s="117">
        <v>19849</v>
      </c>
      <c r="F183" s="117">
        <f>F184+F188</f>
        <v>4726.08</v>
      </c>
      <c r="G183" s="52">
        <f t="shared" si="16"/>
        <v>226.422345254711</v>
      </c>
      <c r="H183" s="52">
        <f aca="true" t="shared" si="19" ref="H183:H198">F183/E183*100</f>
        <v>23.810166759030682</v>
      </c>
    </row>
    <row r="184" spans="1:8" ht="18" customHeight="1">
      <c r="A184" s="28" t="s">
        <v>388</v>
      </c>
      <c r="B184" s="25" t="s">
        <v>289</v>
      </c>
      <c r="C184" s="117">
        <f>SUM(C185)</f>
        <v>564.0719357621607</v>
      </c>
      <c r="D184" s="117">
        <f>SUM(D185)</f>
        <v>0</v>
      </c>
      <c r="E184" s="117">
        <f>SUM(E185)</f>
        <v>0</v>
      </c>
      <c r="F184" s="117">
        <f>SUM(F185)</f>
        <v>1694.35</v>
      </c>
      <c r="G184" s="52">
        <f t="shared" si="16"/>
        <v>300.3783547058823</v>
      </c>
      <c r="H184" s="52" t="e">
        <f t="shared" si="19"/>
        <v>#DIV/0!</v>
      </c>
    </row>
    <row r="185" spans="1:8" ht="15" customHeight="1">
      <c r="A185" s="29" t="s">
        <v>389</v>
      </c>
      <c r="B185" s="19" t="s">
        <v>196</v>
      </c>
      <c r="C185" s="118">
        <f>SUM(C186:C187)</f>
        <v>564.0719357621607</v>
      </c>
      <c r="D185" s="118">
        <v>0</v>
      </c>
      <c r="E185" s="118">
        <v>0</v>
      </c>
      <c r="F185" s="118">
        <f>SUM(F186:F187)</f>
        <v>1694.35</v>
      </c>
      <c r="G185" s="52">
        <f t="shared" si="16"/>
        <v>300.3783547058823</v>
      </c>
      <c r="H185" s="52" t="e">
        <f t="shared" si="19"/>
        <v>#DIV/0!</v>
      </c>
    </row>
    <row r="186" spans="1:8" ht="13.5" customHeight="1">
      <c r="A186" s="30" t="s">
        <v>390</v>
      </c>
      <c r="B186" s="23" t="s">
        <v>666</v>
      </c>
      <c r="C186" s="118">
        <v>0</v>
      </c>
      <c r="D186" s="118">
        <v>0</v>
      </c>
      <c r="E186" s="118">
        <v>0</v>
      </c>
      <c r="F186" s="118">
        <v>0</v>
      </c>
      <c r="G186" s="52" t="e">
        <f>F186/C186*100</f>
        <v>#DIV/0!</v>
      </c>
      <c r="H186" s="52" t="e">
        <f>F186/E186*100</f>
        <v>#DIV/0!</v>
      </c>
    </row>
    <row r="187" spans="1:8" ht="13.5" customHeight="1">
      <c r="A187" s="30" t="s">
        <v>390</v>
      </c>
      <c r="B187" s="23" t="s">
        <v>161</v>
      </c>
      <c r="C187" s="118">
        <f>4250/7.5345</f>
        <v>564.0719357621607</v>
      </c>
      <c r="D187" s="118">
        <v>0</v>
      </c>
      <c r="E187" s="118">
        <v>0</v>
      </c>
      <c r="F187" s="118">
        <v>1694.35</v>
      </c>
      <c r="G187" s="52">
        <f t="shared" si="16"/>
        <v>300.3783547058823</v>
      </c>
      <c r="H187" s="52" t="e">
        <f t="shared" si="19"/>
        <v>#DIV/0!</v>
      </c>
    </row>
    <row r="188" spans="1:8" ht="18" customHeight="1">
      <c r="A188" s="28" t="s">
        <v>391</v>
      </c>
      <c r="B188" s="25" t="s">
        <v>325</v>
      </c>
      <c r="C188" s="117">
        <f>SUM(C189)</f>
        <v>1523.213219191718</v>
      </c>
      <c r="D188" s="117">
        <f>SUM(D189)</f>
        <v>0</v>
      </c>
      <c r="E188" s="117">
        <f>SUM(E189)</f>
        <v>0</v>
      </c>
      <c r="F188" s="117">
        <f>SUM(F189)</f>
        <v>3031.73</v>
      </c>
      <c r="G188" s="52">
        <f t="shared" si="16"/>
        <v>199.03516866855745</v>
      </c>
      <c r="H188" s="52" t="e">
        <f t="shared" si="19"/>
        <v>#DIV/0!</v>
      </c>
    </row>
    <row r="189" spans="1:8" ht="15" customHeight="1">
      <c r="A189" s="30" t="s">
        <v>392</v>
      </c>
      <c r="B189" s="23" t="s">
        <v>326</v>
      </c>
      <c r="C189" s="118">
        <f>11476.65/7.5345</f>
        <v>1523.213219191718</v>
      </c>
      <c r="D189" s="118">
        <v>0</v>
      </c>
      <c r="E189" s="118">
        <v>0</v>
      </c>
      <c r="F189" s="118">
        <f>3031.28+0.45</f>
        <v>3031.73</v>
      </c>
      <c r="G189" s="52">
        <f t="shared" si="16"/>
        <v>199.03516866855745</v>
      </c>
      <c r="H189" s="52" t="e">
        <f t="shared" si="19"/>
        <v>#DIV/0!</v>
      </c>
    </row>
    <row r="190" spans="1:8" ht="24.75" customHeight="1">
      <c r="A190" s="31" t="s">
        <v>393</v>
      </c>
      <c r="B190" s="27" t="s">
        <v>349</v>
      </c>
      <c r="C190" s="116">
        <f>C191+C195</f>
        <v>5947.050235582985</v>
      </c>
      <c r="D190" s="116">
        <f>D191+D195</f>
        <v>600</v>
      </c>
      <c r="E190" s="116">
        <f>E191+E195</f>
        <v>600</v>
      </c>
      <c r="F190" s="116">
        <f>F191+F195</f>
        <v>898.0500000000001</v>
      </c>
      <c r="G190" s="54">
        <f>F190/C190*100</f>
        <v>15.100763646264456</v>
      </c>
      <c r="H190" s="54">
        <f>F190/E190*100</f>
        <v>149.675</v>
      </c>
    </row>
    <row r="191" spans="1:8" ht="21" customHeight="1">
      <c r="A191" s="28" t="s">
        <v>394</v>
      </c>
      <c r="B191" s="25" t="s">
        <v>740</v>
      </c>
      <c r="C191" s="117">
        <f aca="true" t="shared" si="20" ref="C191:F192">SUM(C192)</f>
        <v>5627.063507863826</v>
      </c>
      <c r="D191" s="117">
        <f t="shared" si="20"/>
        <v>0</v>
      </c>
      <c r="E191" s="117">
        <f t="shared" si="20"/>
        <v>0</v>
      </c>
      <c r="F191" s="117">
        <f t="shared" si="20"/>
        <v>782.57</v>
      </c>
      <c r="G191" s="52">
        <f t="shared" si="16"/>
        <v>13.907253737342003</v>
      </c>
      <c r="H191" s="52" t="e">
        <f t="shared" si="19"/>
        <v>#DIV/0!</v>
      </c>
    </row>
    <row r="192" spans="1:8" ht="18" customHeight="1">
      <c r="A192" s="28" t="s">
        <v>395</v>
      </c>
      <c r="B192" s="25" t="s">
        <v>199</v>
      </c>
      <c r="C192" s="117">
        <f t="shared" si="20"/>
        <v>5627.063507863826</v>
      </c>
      <c r="D192" s="117">
        <f t="shared" si="20"/>
        <v>0</v>
      </c>
      <c r="E192" s="117">
        <f t="shared" si="20"/>
        <v>0</v>
      </c>
      <c r="F192" s="117">
        <f t="shared" si="20"/>
        <v>782.57</v>
      </c>
      <c r="G192" s="52">
        <f t="shared" si="16"/>
        <v>13.907253737342003</v>
      </c>
      <c r="H192" s="52" t="e">
        <f t="shared" si="19"/>
        <v>#DIV/0!</v>
      </c>
    </row>
    <row r="193" spans="1:8" ht="15" customHeight="1">
      <c r="A193" s="29" t="s">
        <v>396</v>
      </c>
      <c r="B193" s="19" t="s">
        <v>200</v>
      </c>
      <c r="C193" s="118">
        <f>C194</f>
        <v>5627.063507863826</v>
      </c>
      <c r="D193" s="118">
        <f>D194</f>
        <v>0</v>
      </c>
      <c r="E193" s="118">
        <f>E194</f>
        <v>0</v>
      </c>
      <c r="F193" s="118">
        <f>F194</f>
        <v>782.57</v>
      </c>
      <c r="G193" s="52">
        <f t="shared" si="16"/>
        <v>13.907253737342003</v>
      </c>
      <c r="H193" s="52" t="e">
        <f t="shared" si="19"/>
        <v>#DIV/0!</v>
      </c>
    </row>
    <row r="194" spans="1:8" ht="13.5" customHeight="1">
      <c r="A194" s="30" t="s">
        <v>397</v>
      </c>
      <c r="B194" s="23" t="s">
        <v>163</v>
      </c>
      <c r="C194" s="118">
        <f>42397.11/7.5345</f>
        <v>5627.063507863826</v>
      </c>
      <c r="D194" s="118">
        <v>0</v>
      </c>
      <c r="E194" s="118">
        <v>0</v>
      </c>
      <c r="F194" s="118">
        <v>782.57</v>
      </c>
      <c r="G194" s="52">
        <f t="shared" si="16"/>
        <v>13.907253737342003</v>
      </c>
      <c r="H194" s="52" t="e">
        <f t="shared" si="19"/>
        <v>#DIV/0!</v>
      </c>
    </row>
    <row r="195" spans="1:8" ht="21" customHeight="1">
      <c r="A195" s="28" t="s">
        <v>398</v>
      </c>
      <c r="B195" s="25" t="s">
        <v>534</v>
      </c>
      <c r="C195" s="117">
        <f>C196+C199</f>
        <v>319.9867277191585</v>
      </c>
      <c r="D195" s="117">
        <v>600</v>
      </c>
      <c r="E195" s="117">
        <v>600</v>
      </c>
      <c r="F195" s="117">
        <f>F196+F199</f>
        <v>115.48</v>
      </c>
      <c r="G195" s="52">
        <f t="shared" si="16"/>
        <v>36.088996822816</v>
      </c>
      <c r="H195" s="52">
        <f t="shared" si="19"/>
        <v>19.246666666666666</v>
      </c>
    </row>
    <row r="196" spans="1:8" ht="18" customHeight="1">
      <c r="A196" s="28" t="s">
        <v>399</v>
      </c>
      <c r="B196" s="25" t="s">
        <v>201</v>
      </c>
      <c r="C196" s="117">
        <f>SUM(C197)</f>
        <v>319.9867277191585</v>
      </c>
      <c r="D196" s="117">
        <f>SUM(D197)</f>
        <v>0</v>
      </c>
      <c r="E196" s="117">
        <f>SUM(E197)</f>
        <v>0</v>
      </c>
      <c r="F196" s="117">
        <f>SUM(F197)</f>
        <v>115.48</v>
      </c>
      <c r="G196" s="52">
        <f t="shared" si="16"/>
        <v>36.088996822816</v>
      </c>
      <c r="H196" s="52" t="e">
        <f t="shared" si="19"/>
        <v>#DIV/0!</v>
      </c>
    </row>
    <row r="197" spans="1:8" ht="15" customHeight="1">
      <c r="A197" s="29" t="s">
        <v>400</v>
      </c>
      <c r="B197" s="19" t="s">
        <v>164</v>
      </c>
      <c r="C197" s="118">
        <f>C198</f>
        <v>319.9867277191585</v>
      </c>
      <c r="D197" s="118">
        <v>0</v>
      </c>
      <c r="E197" s="118">
        <v>0</v>
      </c>
      <c r="F197" s="118">
        <f>F198</f>
        <v>115.48</v>
      </c>
      <c r="G197" s="52">
        <f t="shared" si="16"/>
        <v>36.088996822816</v>
      </c>
      <c r="H197" s="52" t="e">
        <f t="shared" si="19"/>
        <v>#DIV/0!</v>
      </c>
    </row>
    <row r="198" spans="1:8" ht="13.5" customHeight="1">
      <c r="A198" s="30" t="s">
        <v>401</v>
      </c>
      <c r="B198" s="23" t="s">
        <v>350</v>
      </c>
      <c r="C198" s="118">
        <f>2410.94/7.5345</f>
        <v>319.9867277191585</v>
      </c>
      <c r="D198" s="118">
        <v>0</v>
      </c>
      <c r="E198" s="118">
        <v>0</v>
      </c>
      <c r="F198" s="118">
        <v>115.48</v>
      </c>
      <c r="G198" s="52">
        <f t="shared" si="16"/>
        <v>36.088996822816</v>
      </c>
      <c r="H198" s="52" t="e">
        <f t="shared" si="19"/>
        <v>#DIV/0!</v>
      </c>
    </row>
    <row r="199" spans="1:8" ht="18" customHeight="1">
      <c r="A199" s="28" t="s">
        <v>1156</v>
      </c>
      <c r="B199" s="25" t="s">
        <v>1157</v>
      </c>
      <c r="C199" s="117">
        <f>SUM(C202)</f>
        <v>0</v>
      </c>
      <c r="D199" s="117">
        <f>SUM(D202)</f>
        <v>0</v>
      </c>
      <c r="E199" s="117">
        <f>SUM(E202)</f>
        <v>0</v>
      </c>
      <c r="F199" s="117">
        <f>SUM(F202)</f>
        <v>0</v>
      </c>
      <c r="G199" s="52" t="e">
        <f>F199/C199*100</f>
        <v>#DIV/0!</v>
      </c>
      <c r="H199" s="52" t="e">
        <f>F199/E199*100</f>
        <v>#DIV/0!</v>
      </c>
    </row>
    <row r="200" spans="1:8" ht="27" customHeight="1">
      <c r="A200" s="90" t="s">
        <v>790</v>
      </c>
      <c r="B200" s="90" t="s">
        <v>883</v>
      </c>
      <c r="C200" s="149" t="s">
        <v>1386</v>
      </c>
      <c r="D200" s="166" t="s">
        <v>1387</v>
      </c>
      <c r="E200" s="166" t="s">
        <v>1388</v>
      </c>
      <c r="F200" s="46" t="s">
        <v>1389</v>
      </c>
      <c r="G200" s="53" t="s">
        <v>793</v>
      </c>
      <c r="H200" s="53" t="s">
        <v>794</v>
      </c>
    </row>
    <row r="201" spans="1:8" ht="9.75" customHeight="1">
      <c r="A201" s="94">
        <v>1</v>
      </c>
      <c r="B201" s="94">
        <v>2</v>
      </c>
      <c r="C201" s="150">
        <v>3</v>
      </c>
      <c r="D201" s="150">
        <v>4</v>
      </c>
      <c r="E201" s="150">
        <v>5</v>
      </c>
      <c r="F201" s="53">
        <v>6</v>
      </c>
      <c r="G201" s="53">
        <v>7</v>
      </c>
      <c r="H201" s="53">
        <v>8</v>
      </c>
    </row>
    <row r="202" spans="1:8" ht="15" customHeight="1">
      <c r="A202" s="29" t="s">
        <v>1158</v>
      </c>
      <c r="B202" s="19" t="s">
        <v>1159</v>
      </c>
      <c r="C202" s="118">
        <f>C203</f>
        <v>0</v>
      </c>
      <c r="D202" s="118">
        <f>D203</f>
        <v>0</v>
      </c>
      <c r="E202" s="118">
        <f>E203</f>
        <v>0</v>
      </c>
      <c r="F202" s="118">
        <f>F203</f>
        <v>0</v>
      </c>
      <c r="G202" s="52" t="e">
        <f>F202/C202*100</f>
        <v>#DIV/0!</v>
      </c>
      <c r="H202" s="52" t="e">
        <f>F202/E202*100</f>
        <v>#DIV/0!</v>
      </c>
    </row>
    <row r="203" spans="1:8" ht="13.5" customHeight="1">
      <c r="A203" s="30" t="s">
        <v>1160</v>
      </c>
      <c r="B203" s="23" t="s">
        <v>1161</v>
      </c>
      <c r="C203" s="152">
        <v>0</v>
      </c>
      <c r="D203" s="118">
        <v>0</v>
      </c>
      <c r="E203" s="118">
        <v>0</v>
      </c>
      <c r="F203" s="118">
        <v>0</v>
      </c>
      <c r="G203" s="52" t="e">
        <f>F203/C203*100</f>
        <v>#DIV/0!</v>
      </c>
      <c r="H203" s="52" t="e">
        <f>F203/E203*100</f>
        <v>#DIV/0!</v>
      </c>
    </row>
    <row r="204" spans="1:8" ht="24.75" customHeight="1">
      <c r="A204" s="31" t="s">
        <v>550</v>
      </c>
      <c r="B204" s="27" t="s">
        <v>742</v>
      </c>
      <c r="C204" s="116">
        <f>C205+C208</f>
        <v>67547.14712323312</v>
      </c>
      <c r="D204" s="116">
        <f>D205+D208</f>
        <v>0</v>
      </c>
      <c r="E204" s="116">
        <f>E205+E208</f>
        <v>0</v>
      </c>
      <c r="F204" s="116">
        <f>F205+F208</f>
        <v>0</v>
      </c>
      <c r="G204" s="54">
        <f aca="true" t="shared" si="21" ref="G204:G215">F204/C204*100</f>
        <v>0</v>
      </c>
      <c r="H204" s="54" t="e">
        <f aca="true" t="shared" si="22" ref="H204:H215">F204/E204*100</f>
        <v>#DIV/0!</v>
      </c>
    </row>
    <row r="205" spans="1:8" ht="21" customHeight="1">
      <c r="A205" s="28" t="s">
        <v>1127</v>
      </c>
      <c r="B205" s="25" t="s">
        <v>1128</v>
      </c>
      <c r="C205" s="117">
        <f aca="true" t="shared" si="23" ref="C205:F209">SUM(C206)</f>
        <v>0</v>
      </c>
      <c r="D205" s="117">
        <f t="shared" si="23"/>
        <v>0</v>
      </c>
      <c r="E205" s="117">
        <f t="shared" si="23"/>
        <v>0</v>
      </c>
      <c r="F205" s="117">
        <f t="shared" si="23"/>
        <v>0</v>
      </c>
      <c r="G205" s="52" t="e">
        <f t="shared" si="21"/>
        <v>#DIV/0!</v>
      </c>
      <c r="H205" s="52" t="e">
        <f t="shared" si="22"/>
        <v>#DIV/0!</v>
      </c>
    </row>
    <row r="206" spans="1:8" ht="22.5" customHeight="1">
      <c r="A206" s="28" t="s">
        <v>1129</v>
      </c>
      <c r="B206" s="138" t="s">
        <v>1130</v>
      </c>
      <c r="C206" s="117">
        <f t="shared" si="23"/>
        <v>0</v>
      </c>
      <c r="D206" s="117">
        <f t="shared" si="23"/>
        <v>0</v>
      </c>
      <c r="E206" s="117">
        <f t="shared" si="23"/>
        <v>0</v>
      </c>
      <c r="F206" s="117">
        <f t="shared" si="23"/>
        <v>0</v>
      </c>
      <c r="G206" s="52" t="e">
        <f t="shared" si="21"/>
        <v>#DIV/0!</v>
      </c>
      <c r="H206" s="52" t="e">
        <f t="shared" si="22"/>
        <v>#DIV/0!</v>
      </c>
    </row>
    <row r="207" spans="1:8" ht="15" customHeight="1">
      <c r="A207" s="29" t="s">
        <v>1131</v>
      </c>
      <c r="B207" s="139" t="s">
        <v>1132</v>
      </c>
      <c r="C207" s="118">
        <v>0</v>
      </c>
      <c r="D207" s="118">
        <v>0</v>
      </c>
      <c r="E207" s="118">
        <v>0</v>
      </c>
      <c r="F207" s="118">
        <v>0</v>
      </c>
      <c r="G207" s="52" t="e">
        <f t="shared" si="21"/>
        <v>#DIV/0!</v>
      </c>
      <c r="H207" s="52" t="e">
        <f t="shared" si="22"/>
        <v>#DIV/0!</v>
      </c>
    </row>
    <row r="208" spans="1:8" ht="21" customHeight="1">
      <c r="A208" s="28" t="s">
        <v>1133</v>
      </c>
      <c r="B208" s="25" t="s">
        <v>1134</v>
      </c>
      <c r="C208" s="117">
        <f>C209+C211</f>
        <v>67547.14712323312</v>
      </c>
      <c r="D208" s="117">
        <f>D209+D211</f>
        <v>0</v>
      </c>
      <c r="E208" s="117">
        <f>E209+E211</f>
        <v>0</v>
      </c>
      <c r="F208" s="117">
        <f>F209+F211</f>
        <v>0</v>
      </c>
      <c r="G208" s="52">
        <f t="shared" si="21"/>
        <v>0</v>
      </c>
      <c r="H208" s="52" t="e">
        <f t="shared" si="22"/>
        <v>#DIV/0!</v>
      </c>
    </row>
    <row r="209" spans="1:8" ht="22.5" customHeight="1">
      <c r="A209" s="28" t="s">
        <v>1135</v>
      </c>
      <c r="B209" s="138" t="s">
        <v>1136</v>
      </c>
      <c r="C209" s="117">
        <f t="shared" si="23"/>
        <v>67547.14712323312</v>
      </c>
      <c r="D209" s="117">
        <f t="shared" si="23"/>
        <v>0</v>
      </c>
      <c r="E209" s="117">
        <f t="shared" si="23"/>
        <v>0</v>
      </c>
      <c r="F209" s="117">
        <f t="shared" si="23"/>
        <v>0</v>
      </c>
      <c r="G209" s="52">
        <f t="shared" si="21"/>
        <v>0</v>
      </c>
      <c r="H209" s="52" t="e">
        <f t="shared" si="22"/>
        <v>#DIV/0!</v>
      </c>
    </row>
    <row r="210" spans="1:8" ht="15" customHeight="1">
      <c r="A210" s="29" t="s">
        <v>1137</v>
      </c>
      <c r="B210" s="139" t="s">
        <v>1138</v>
      </c>
      <c r="C210" s="118">
        <f>508933.98/7.5345</f>
        <v>67547.14712323312</v>
      </c>
      <c r="D210" s="118">
        <v>0</v>
      </c>
      <c r="E210" s="118">
        <v>0</v>
      </c>
      <c r="F210" s="118">
        <v>0</v>
      </c>
      <c r="G210" s="52">
        <f t="shared" si="21"/>
        <v>0</v>
      </c>
      <c r="H210" s="52" t="e">
        <f t="shared" si="22"/>
        <v>#DIV/0!</v>
      </c>
    </row>
    <row r="211" spans="1:8" ht="22.5" customHeight="1">
      <c r="A211" s="28" t="s">
        <v>1139</v>
      </c>
      <c r="B211" s="138" t="s">
        <v>1140</v>
      </c>
      <c r="C211" s="117">
        <f>SUM(C212:C214)</f>
        <v>0</v>
      </c>
      <c r="D211" s="117">
        <f>SUM(D212:D214)</f>
        <v>0</v>
      </c>
      <c r="E211" s="117">
        <f>SUM(E212:E214)</f>
        <v>0</v>
      </c>
      <c r="F211" s="117">
        <f>SUM(F212:F214)</f>
        <v>0</v>
      </c>
      <c r="G211" s="52" t="e">
        <f t="shared" si="21"/>
        <v>#DIV/0!</v>
      </c>
      <c r="H211" s="52" t="e">
        <f t="shared" si="22"/>
        <v>#DIV/0!</v>
      </c>
    </row>
    <row r="212" spans="1:8" ht="15" customHeight="1">
      <c r="A212" s="29" t="s">
        <v>1141</v>
      </c>
      <c r="B212" s="139" t="s">
        <v>1142</v>
      </c>
      <c r="C212" s="118">
        <v>0</v>
      </c>
      <c r="D212" s="118">
        <v>0</v>
      </c>
      <c r="E212" s="118">
        <v>0</v>
      </c>
      <c r="F212" s="118">
        <v>0</v>
      </c>
      <c r="G212" s="52" t="e">
        <f t="shared" si="21"/>
        <v>#DIV/0!</v>
      </c>
      <c r="H212" s="52" t="e">
        <f t="shared" si="22"/>
        <v>#DIV/0!</v>
      </c>
    </row>
    <row r="213" spans="1:8" ht="15" customHeight="1">
      <c r="A213" s="29" t="s">
        <v>1162</v>
      </c>
      <c r="B213" s="139" t="s">
        <v>1164</v>
      </c>
      <c r="C213" s="118">
        <v>0</v>
      </c>
      <c r="D213" s="118">
        <v>0</v>
      </c>
      <c r="E213" s="118">
        <v>0</v>
      </c>
      <c r="F213" s="118">
        <v>0</v>
      </c>
      <c r="G213" s="52" t="e">
        <f>F213/C213*100</f>
        <v>#DIV/0!</v>
      </c>
      <c r="H213" s="52" t="e">
        <f>F213/E213*100</f>
        <v>#DIV/0!</v>
      </c>
    </row>
    <row r="214" spans="1:8" ht="15" customHeight="1">
      <c r="A214" s="29" t="s">
        <v>1163</v>
      </c>
      <c r="B214" s="139" t="s">
        <v>1165</v>
      </c>
      <c r="C214" s="118">
        <v>0</v>
      </c>
      <c r="D214" s="118">
        <v>0</v>
      </c>
      <c r="E214" s="118">
        <v>0</v>
      </c>
      <c r="F214" s="118">
        <v>0</v>
      </c>
      <c r="G214" s="52" t="e">
        <f>F214/C214*100</f>
        <v>#DIV/0!</v>
      </c>
      <c r="H214" s="52" t="e">
        <f>F214/E214*100</f>
        <v>#DIV/0!</v>
      </c>
    </row>
    <row r="215" spans="1:8" ht="24.75" customHeight="1">
      <c r="A215" s="19"/>
      <c r="B215" s="32" t="s">
        <v>1014</v>
      </c>
      <c r="C215" s="116">
        <f>C45+C190+C204</f>
        <v>2390067.70808374</v>
      </c>
      <c r="D215" s="116">
        <f>D45+D190+D204</f>
        <v>8164426</v>
      </c>
      <c r="E215" s="116">
        <f>E45+E190+E204</f>
        <v>8164426</v>
      </c>
      <c r="F215" s="116">
        <f>F45+F190+F204</f>
        <v>2877920.88</v>
      </c>
      <c r="G215" s="54">
        <f t="shared" si="21"/>
        <v>120.41168834950709</v>
      </c>
      <c r="H215" s="54">
        <f t="shared" si="22"/>
        <v>35.24951882716556</v>
      </c>
    </row>
    <row r="216" ht="53.25" customHeight="1"/>
    <row r="217" spans="1:2" ht="28.5" customHeight="1">
      <c r="A217" s="99" t="s">
        <v>890</v>
      </c>
      <c r="B217" s="12"/>
    </row>
    <row r="218" spans="3:8" ht="22.5" customHeight="1">
      <c r="C218" s="148"/>
      <c r="D218" s="148"/>
      <c r="E218" s="148"/>
      <c r="F218" s="8"/>
      <c r="G218" s="177"/>
      <c r="H218" s="177"/>
    </row>
    <row r="219" spans="1:8" ht="27" customHeight="1">
      <c r="A219" s="90" t="s">
        <v>790</v>
      </c>
      <c r="B219" s="90" t="s">
        <v>883</v>
      </c>
      <c r="C219" s="149" t="s">
        <v>1386</v>
      </c>
      <c r="D219" s="166" t="s">
        <v>1387</v>
      </c>
      <c r="E219" s="166" t="s">
        <v>1388</v>
      </c>
      <c r="F219" s="46" t="s">
        <v>1389</v>
      </c>
      <c r="G219" s="53" t="s">
        <v>793</v>
      </c>
      <c r="H219" s="53" t="s">
        <v>794</v>
      </c>
    </row>
    <row r="220" spans="1:8" ht="9.75" customHeight="1">
      <c r="A220" s="94">
        <v>1</v>
      </c>
      <c r="B220" s="94">
        <v>2</v>
      </c>
      <c r="C220" s="163">
        <v>3</v>
      </c>
      <c r="D220" s="150">
        <v>4</v>
      </c>
      <c r="E220" s="150">
        <v>5</v>
      </c>
      <c r="F220" s="53">
        <v>6</v>
      </c>
      <c r="G220" s="53">
        <v>7</v>
      </c>
      <c r="H220" s="53">
        <v>8</v>
      </c>
    </row>
    <row r="221" spans="1:8" ht="24" customHeight="1">
      <c r="A221" s="31" t="s">
        <v>436</v>
      </c>
      <c r="B221" s="27" t="s">
        <v>270</v>
      </c>
      <c r="C221" s="116">
        <f>C222+C232+C267+C275+C278+C285+C291</f>
        <v>1681342.2602694272</v>
      </c>
      <c r="D221" s="116">
        <f>D222+D232+D267+D275+D278+D285+D291</f>
        <v>6676958</v>
      </c>
      <c r="E221" s="116">
        <f>E222+E232+E267+E275+E278+E285+E291</f>
        <v>6676958</v>
      </c>
      <c r="F221" s="116">
        <f>F222+F232+F267+F275+F278+F285+F291</f>
        <v>2261831.66</v>
      </c>
      <c r="G221" s="54">
        <f>F221/C221*100</f>
        <v>134.52535592827795</v>
      </c>
      <c r="H221" s="54">
        <f>F221/E221*100</f>
        <v>33.875181781883306</v>
      </c>
    </row>
    <row r="222" spans="1:8" ht="21" customHeight="1">
      <c r="A222" s="28" t="s">
        <v>437</v>
      </c>
      <c r="B222" s="34" t="s">
        <v>202</v>
      </c>
      <c r="C222" s="117">
        <f>SUM(C223+C227+C229)</f>
        <v>458057.64549737866</v>
      </c>
      <c r="D222" s="117">
        <v>1323843</v>
      </c>
      <c r="E222" s="117">
        <v>1323843</v>
      </c>
      <c r="F222" s="117">
        <f>SUM(F223+F227+F229)</f>
        <v>553656.73</v>
      </c>
      <c r="G222" s="52">
        <f aca="true" t="shared" si="24" ref="G222:G237">F222/C222*100</f>
        <v>120.8705357158302</v>
      </c>
      <c r="H222" s="52">
        <f aca="true" t="shared" si="25" ref="H222:H246">F222/E222*100</f>
        <v>41.82193281227457</v>
      </c>
    </row>
    <row r="223" spans="1:8" ht="18" customHeight="1">
      <c r="A223" s="28" t="s">
        <v>438</v>
      </c>
      <c r="B223" s="25" t="s">
        <v>308</v>
      </c>
      <c r="C223" s="117">
        <f>SUM(C224:C226)</f>
        <v>377446.7874444223</v>
      </c>
      <c r="D223" s="117">
        <v>0</v>
      </c>
      <c r="E223" s="117">
        <v>0</v>
      </c>
      <c r="F223" s="117">
        <f>SUM(F224:F226)</f>
        <v>450266.81</v>
      </c>
      <c r="G223" s="52">
        <f>F223/C223*100</f>
        <v>119.29279172002497</v>
      </c>
      <c r="H223" s="52" t="e">
        <f t="shared" si="25"/>
        <v>#DIV/0!</v>
      </c>
    </row>
    <row r="224" spans="1:8" ht="15" customHeight="1">
      <c r="A224" s="29" t="s">
        <v>439</v>
      </c>
      <c r="B224" s="19" t="s">
        <v>203</v>
      </c>
      <c r="C224" s="118">
        <f>2832261.34/7.5345</f>
        <v>375905.679208972</v>
      </c>
      <c r="D224" s="118"/>
      <c r="E224" s="118"/>
      <c r="F224" s="118">
        <f>189752.35+28690.97+196728.44+28665.17+678.54</f>
        <v>444515.47</v>
      </c>
      <c r="G224" s="52">
        <f>F224/C224*100</f>
        <v>118.25186332257742</v>
      </c>
      <c r="H224" s="52" t="e">
        <f>F224/E224*100</f>
        <v>#DIV/0!</v>
      </c>
    </row>
    <row r="225" spans="1:8" ht="15" customHeight="1">
      <c r="A225" s="29" t="s">
        <v>1166</v>
      </c>
      <c r="B225" s="19" t="s">
        <v>1351</v>
      </c>
      <c r="C225" s="118">
        <f>11611.48/7.5345</f>
        <v>1541.1082354502619</v>
      </c>
      <c r="D225" s="118"/>
      <c r="E225" s="118"/>
      <c r="F225" s="118">
        <v>1746.25</v>
      </c>
      <c r="G225" s="52">
        <f t="shared" si="24"/>
        <v>113.31131453527028</v>
      </c>
      <c r="H225" s="52" t="e">
        <f t="shared" si="25"/>
        <v>#DIV/0!</v>
      </c>
    </row>
    <row r="226" spans="1:8" ht="15" customHeight="1">
      <c r="A226" s="29" t="s">
        <v>1400</v>
      </c>
      <c r="B226" s="19" t="s">
        <v>1401</v>
      </c>
      <c r="C226" s="118">
        <v>0</v>
      </c>
      <c r="D226" s="118"/>
      <c r="E226" s="118"/>
      <c r="F226" s="118">
        <v>4005.09</v>
      </c>
      <c r="G226" s="52" t="e">
        <f>F226/C226*100</f>
        <v>#DIV/0!</v>
      </c>
      <c r="H226" s="52" t="e">
        <f>F226/E226*100</f>
        <v>#DIV/0!</v>
      </c>
    </row>
    <row r="227" spans="1:8" ht="18" customHeight="1">
      <c r="A227" s="28" t="s">
        <v>440</v>
      </c>
      <c r="B227" s="25" t="s">
        <v>256</v>
      </c>
      <c r="C227" s="117">
        <f>C228</f>
        <v>20725.603556971266</v>
      </c>
      <c r="D227" s="117">
        <v>0</v>
      </c>
      <c r="E227" s="117">
        <v>0</v>
      </c>
      <c r="F227" s="117">
        <f>F228</f>
        <v>30043.46</v>
      </c>
      <c r="G227" s="52">
        <f t="shared" si="24"/>
        <v>144.9581910481665</v>
      </c>
      <c r="H227" s="52" t="e">
        <f t="shared" si="25"/>
        <v>#DIV/0!</v>
      </c>
    </row>
    <row r="228" spans="1:8" ht="15" customHeight="1">
      <c r="A228" s="29" t="s">
        <v>441</v>
      </c>
      <c r="B228" s="19" t="s">
        <v>204</v>
      </c>
      <c r="C228" s="118">
        <f>156157.06/7.5345</f>
        <v>20725.603556971266</v>
      </c>
      <c r="D228" s="118"/>
      <c r="E228" s="118"/>
      <c r="F228" s="118">
        <f>8154.31+895.2+20993.95</f>
        <v>30043.46</v>
      </c>
      <c r="G228" s="52">
        <f t="shared" si="24"/>
        <v>144.9581910481665</v>
      </c>
      <c r="H228" s="52" t="e">
        <f t="shared" si="25"/>
        <v>#DIV/0!</v>
      </c>
    </row>
    <row r="229" spans="1:8" ht="18" customHeight="1">
      <c r="A229" s="28" t="s">
        <v>442</v>
      </c>
      <c r="B229" s="25" t="s">
        <v>309</v>
      </c>
      <c r="C229" s="117">
        <f>SUM(C230:C231)</f>
        <v>59885.25449598514</v>
      </c>
      <c r="D229" s="117">
        <v>0</v>
      </c>
      <c r="E229" s="117">
        <v>0</v>
      </c>
      <c r="F229" s="117">
        <f>SUM(F230:F231)</f>
        <v>73346.46</v>
      </c>
      <c r="G229" s="52">
        <f t="shared" si="24"/>
        <v>122.47833062964999</v>
      </c>
      <c r="H229" s="52" t="e">
        <f t="shared" si="25"/>
        <v>#DIV/0!</v>
      </c>
    </row>
    <row r="230" spans="1:8" ht="15" customHeight="1">
      <c r="A230" s="18" t="s">
        <v>443</v>
      </c>
      <c r="B230" s="19" t="s">
        <v>310</v>
      </c>
      <c r="C230" s="118">
        <f>451205.45/7.5345</f>
        <v>59885.25449598514</v>
      </c>
      <c r="D230" s="118"/>
      <c r="E230" s="118"/>
      <c r="F230" s="118">
        <f>31310.53+4734.04+32460.18+4729.75+111.96</f>
        <v>73346.46</v>
      </c>
      <c r="G230" s="52">
        <f t="shared" si="24"/>
        <v>122.47833062964999</v>
      </c>
      <c r="H230" s="52" t="e">
        <f t="shared" si="25"/>
        <v>#DIV/0!</v>
      </c>
    </row>
    <row r="231" spans="1:8" ht="15" customHeight="1">
      <c r="A231" s="18" t="s">
        <v>444</v>
      </c>
      <c r="B231" s="19" t="s">
        <v>311</v>
      </c>
      <c r="C231" s="118">
        <v>0</v>
      </c>
      <c r="D231" s="118"/>
      <c r="E231" s="118"/>
      <c r="F231" s="118">
        <v>0</v>
      </c>
      <c r="G231" s="52" t="e">
        <f t="shared" si="24"/>
        <v>#DIV/0!</v>
      </c>
      <c r="H231" s="52" t="e">
        <f t="shared" si="25"/>
        <v>#DIV/0!</v>
      </c>
    </row>
    <row r="232" spans="1:8" ht="21" customHeight="1">
      <c r="A232" s="24" t="s">
        <v>445</v>
      </c>
      <c r="B232" s="25" t="s">
        <v>205</v>
      </c>
      <c r="C232" s="117">
        <f>SUM(C233+C238+C247+C257+C259)</f>
        <v>731864.0679540779</v>
      </c>
      <c r="D232" s="117">
        <v>3047674</v>
      </c>
      <c r="E232" s="117">
        <v>3047674</v>
      </c>
      <c r="F232" s="117">
        <f>SUM(F233+F238+F247+F257+F259)</f>
        <v>1050595.67</v>
      </c>
      <c r="G232" s="52">
        <f t="shared" si="24"/>
        <v>143.55065592124706</v>
      </c>
      <c r="H232" s="52">
        <f t="shared" si="25"/>
        <v>34.47204884774421</v>
      </c>
    </row>
    <row r="233" spans="1:8" ht="18" customHeight="1">
      <c r="A233" s="24" t="s">
        <v>446</v>
      </c>
      <c r="B233" s="25" t="s">
        <v>257</v>
      </c>
      <c r="C233" s="117">
        <f>SUM(C234:C237)</f>
        <v>25489.999336385954</v>
      </c>
      <c r="D233" s="117">
        <v>0</v>
      </c>
      <c r="E233" s="117">
        <v>0</v>
      </c>
      <c r="F233" s="117">
        <f>SUM(F234:F237)</f>
        <v>32949.04</v>
      </c>
      <c r="G233" s="52">
        <f t="shared" si="24"/>
        <v>129.26261615458955</v>
      </c>
      <c r="H233" s="52" t="e">
        <f t="shared" si="25"/>
        <v>#DIV/0!</v>
      </c>
    </row>
    <row r="234" spans="1:8" ht="15" customHeight="1">
      <c r="A234" s="18" t="s">
        <v>447</v>
      </c>
      <c r="B234" s="19" t="s">
        <v>206</v>
      </c>
      <c r="C234" s="118">
        <f>32778.9/7.5345</f>
        <v>4350.507664742186</v>
      </c>
      <c r="D234" s="118"/>
      <c r="E234" s="118"/>
      <c r="F234" s="118">
        <f>4570.67+1673.57+500</f>
        <v>6744.24</v>
      </c>
      <c r="G234" s="52">
        <f t="shared" si="24"/>
        <v>155.02190823975178</v>
      </c>
      <c r="H234" s="52" t="e">
        <f t="shared" si="25"/>
        <v>#DIV/0!</v>
      </c>
    </row>
    <row r="235" spans="1:8" ht="15" customHeight="1">
      <c r="A235" s="18" t="s">
        <v>448</v>
      </c>
      <c r="B235" s="19" t="s">
        <v>147</v>
      </c>
      <c r="C235" s="118">
        <f>145348/7.5345</f>
        <v>19290.994757449065</v>
      </c>
      <c r="D235" s="118"/>
      <c r="E235" s="118"/>
      <c r="F235" s="118">
        <f>8914.71+692.82+14508.5</f>
        <v>24116.03</v>
      </c>
      <c r="G235" s="52">
        <f t="shared" si="24"/>
        <v>125.01185295635304</v>
      </c>
      <c r="H235" s="52" t="e">
        <f t="shared" si="25"/>
        <v>#DIV/0!</v>
      </c>
    </row>
    <row r="236" spans="1:8" ht="15" customHeight="1">
      <c r="A236" s="18" t="s">
        <v>449</v>
      </c>
      <c r="B236" s="19" t="s">
        <v>207</v>
      </c>
      <c r="C236" s="118">
        <f>13927.5/7.5345</f>
        <v>1848.4969141947042</v>
      </c>
      <c r="D236" s="118"/>
      <c r="E236" s="118"/>
      <c r="F236" s="118">
        <f>361.25+79.64+745.08+500</f>
        <v>1685.97</v>
      </c>
      <c r="G236" s="52">
        <f t="shared" si="24"/>
        <v>91.20761777059775</v>
      </c>
      <c r="H236" s="52" t="e">
        <f t="shared" si="25"/>
        <v>#DIV/0!</v>
      </c>
    </row>
    <row r="237" spans="1:8" ht="15" customHeight="1">
      <c r="A237" s="18" t="s">
        <v>450</v>
      </c>
      <c r="B237" s="19" t="s">
        <v>313</v>
      </c>
      <c r="C237" s="118">
        <v>0</v>
      </c>
      <c r="D237" s="118"/>
      <c r="E237" s="118"/>
      <c r="F237" s="118">
        <f>24+378.8</f>
        <v>402.8</v>
      </c>
      <c r="G237" s="52" t="e">
        <f t="shared" si="24"/>
        <v>#DIV/0!</v>
      </c>
      <c r="H237" s="52" t="e">
        <f t="shared" si="25"/>
        <v>#DIV/0!</v>
      </c>
    </row>
    <row r="238" spans="1:8" ht="18" customHeight="1">
      <c r="A238" s="24" t="s">
        <v>451</v>
      </c>
      <c r="B238" s="25" t="s">
        <v>259</v>
      </c>
      <c r="C238" s="117">
        <f>SUM(C239:C246)-C242</f>
        <v>132018.28787577144</v>
      </c>
      <c r="D238" s="117">
        <v>0</v>
      </c>
      <c r="E238" s="117">
        <v>0</v>
      </c>
      <c r="F238" s="117">
        <f>SUM(F239:F246)-F242</f>
        <v>229617.44</v>
      </c>
      <c r="G238" s="52">
        <f aca="true" t="shared" si="26" ref="G238:G293">F238/C238*100</f>
        <v>173.92850921992633</v>
      </c>
      <c r="H238" s="52" t="e">
        <f t="shared" si="25"/>
        <v>#DIV/0!</v>
      </c>
    </row>
    <row r="239" spans="1:8" ht="15" customHeight="1">
      <c r="A239" s="18" t="s">
        <v>452</v>
      </c>
      <c r="B239" s="19" t="s">
        <v>208</v>
      </c>
      <c r="C239" s="118">
        <f>383070.28/7.5345</f>
        <v>50842.16338177716</v>
      </c>
      <c r="D239" s="118"/>
      <c r="E239" s="118"/>
      <c r="F239" s="118">
        <f>76643.14+1516.25+10132.48+3057.97</f>
        <v>91349.84</v>
      </c>
      <c r="G239" s="52">
        <f t="shared" si="26"/>
        <v>179.67339295546498</v>
      </c>
      <c r="H239" s="52" t="e">
        <f t="shared" si="25"/>
        <v>#DIV/0!</v>
      </c>
    </row>
    <row r="240" spans="1:8" ht="15" customHeight="1">
      <c r="A240" s="18" t="s">
        <v>667</v>
      </c>
      <c r="B240" s="19" t="s">
        <v>668</v>
      </c>
      <c r="C240" s="118">
        <f>134154.87/7.5345</f>
        <v>17805.41110889906</v>
      </c>
      <c r="D240" s="118"/>
      <c r="E240" s="118"/>
      <c r="F240" s="118">
        <f>12859.03+7000</f>
        <v>19859.03</v>
      </c>
      <c r="G240" s="52">
        <f t="shared" si="26"/>
        <v>111.53367860220058</v>
      </c>
      <c r="H240" s="52" t="e">
        <f t="shared" si="25"/>
        <v>#DIV/0!</v>
      </c>
    </row>
    <row r="241" spans="1:8" ht="27" customHeight="1">
      <c r="A241" s="90" t="s">
        <v>790</v>
      </c>
      <c r="B241" s="90" t="s">
        <v>883</v>
      </c>
      <c r="C241" s="149" t="s">
        <v>1386</v>
      </c>
      <c r="D241" s="166" t="s">
        <v>1387</v>
      </c>
      <c r="E241" s="166" t="s">
        <v>1388</v>
      </c>
      <c r="F241" s="46" t="s">
        <v>1389</v>
      </c>
      <c r="G241" s="53" t="s">
        <v>793</v>
      </c>
      <c r="H241" s="53" t="s">
        <v>794</v>
      </c>
    </row>
    <row r="242" spans="1:8" ht="9.75" customHeight="1">
      <c r="A242" s="94">
        <v>1</v>
      </c>
      <c r="B242" s="94">
        <v>2</v>
      </c>
      <c r="C242" s="150">
        <v>3</v>
      </c>
      <c r="D242" s="150">
        <v>4</v>
      </c>
      <c r="E242" s="150">
        <v>5</v>
      </c>
      <c r="F242" s="53">
        <v>6</v>
      </c>
      <c r="G242" s="53">
        <v>7</v>
      </c>
      <c r="H242" s="53">
        <v>8</v>
      </c>
    </row>
    <row r="243" spans="1:8" ht="15" customHeight="1">
      <c r="A243" s="18" t="s">
        <v>453</v>
      </c>
      <c r="B243" s="19" t="s">
        <v>209</v>
      </c>
      <c r="C243" s="118">
        <f>266268.29/7.5345</f>
        <v>35339.87524056008</v>
      </c>
      <c r="D243" s="118"/>
      <c r="E243" s="118"/>
      <c r="F243" s="118">
        <f>49820.72+5446.05</f>
        <v>55266.770000000004</v>
      </c>
      <c r="G243" s="52">
        <f>F243/C243*100</f>
        <v>156.38643210763104</v>
      </c>
      <c r="H243" s="52" t="e">
        <f>F243/E243*100</f>
        <v>#DIV/0!</v>
      </c>
    </row>
    <row r="244" spans="1:8" ht="15" customHeight="1">
      <c r="A244" s="18" t="s">
        <v>454</v>
      </c>
      <c r="B244" s="19" t="s">
        <v>210</v>
      </c>
      <c r="C244" s="118">
        <f>210464.64/7.5345</f>
        <v>27933.458092773242</v>
      </c>
      <c r="D244" s="118"/>
      <c r="E244" s="118"/>
      <c r="F244" s="118">
        <f>61655+72.31+1414.49</f>
        <v>63141.799999999996</v>
      </c>
      <c r="G244" s="52">
        <f t="shared" si="26"/>
        <v>226.04362048655773</v>
      </c>
      <c r="H244" s="52" t="e">
        <f t="shared" si="25"/>
        <v>#DIV/0!</v>
      </c>
    </row>
    <row r="245" spans="1:8" ht="15" customHeight="1">
      <c r="A245" s="18" t="s">
        <v>455</v>
      </c>
      <c r="B245" s="19" t="s">
        <v>211</v>
      </c>
      <c r="C245" s="118">
        <f>733.71/7.5345</f>
        <v>97.38005176189529</v>
      </c>
      <c r="D245" s="118"/>
      <c r="E245" s="118"/>
      <c r="F245" s="118">
        <v>0</v>
      </c>
      <c r="G245" s="52">
        <f>F245/C245*100</f>
        <v>0</v>
      </c>
      <c r="H245" s="52" t="e">
        <f>F245/E245*100</f>
        <v>#DIV/0!</v>
      </c>
    </row>
    <row r="246" spans="1:8" ht="15" customHeight="1">
      <c r="A246" s="18" t="s">
        <v>553</v>
      </c>
      <c r="B246" s="19" t="s">
        <v>554</v>
      </c>
      <c r="C246" s="118">
        <v>0</v>
      </c>
      <c r="D246" s="118"/>
      <c r="E246" s="118"/>
      <c r="F246" s="118">
        <v>0</v>
      </c>
      <c r="G246" s="52" t="e">
        <f t="shared" si="26"/>
        <v>#DIV/0!</v>
      </c>
      <c r="H246" s="52" t="e">
        <f t="shared" si="25"/>
        <v>#DIV/0!</v>
      </c>
    </row>
    <row r="247" spans="1:8" ht="18" customHeight="1">
      <c r="A247" s="24" t="s">
        <v>456</v>
      </c>
      <c r="B247" s="25" t="s">
        <v>260</v>
      </c>
      <c r="C247" s="117">
        <f>SUM(C248:C256)</f>
        <v>532927.4988386754</v>
      </c>
      <c r="D247" s="117">
        <v>0</v>
      </c>
      <c r="E247" s="117">
        <v>0</v>
      </c>
      <c r="F247" s="117">
        <f>SUM(F248:F256)</f>
        <v>723155.8</v>
      </c>
      <c r="G247" s="52">
        <f t="shared" si="26"/>
        <v>135.6949681853271</v>
      </c>
      <c r="H247" s="52" t="e">
        <f aca="true" t="shared" si="27" ref="H247:H301">F247/E247*100</f>
        <v>#DIV/0!</v>
      </c>
    </row>
    <row r="248" spans="1:8" ht="15" customHeight="1">
      <c r="A248" s="18" t="s">
        <v>457</v>
      </c>
      <c r="B248" s="19" t="s">
        <v>212</v>
      </c>
      <c r="C248" s="118">
        <f>110872.61/7.5345</f>
        <v>14715.324175459553</v>
      </c>
      <c r="D248" s="118"/>
      <c r="E248" s="118"/>
      <c r="F248" s="118">
        <f>15704.98+610.76+1062.68</f>
        <v>17378.42</v>
      </c>
      <c r="G248" s="52">
        <f t="shared" si="26"/>
        <v>118.09743226032109</v>
      </c>
      <c r="H248" s="52" t="e">
        <f t="shared" si="27"/>
        <v>#DIV/0!</v>
      </c>
    </row>
    <row r="249" spans="1:8" ht="15" customHeight="1">
      <c r="A249" s="18" t="s">
        <v>458</v>
      </c>
      <c r="B249" s="19" t="s">
        <v>214</v>
      </c>
      <c r="C249" s="118">
        <f>1529959.91/7.5345</f>
        <v>203060.5760169885</v>
      </c>
      <c r="D249" s="118"/>
      <c r="E249" s="118"/>
      <c r="F249" s="118">
        <f>226937.78+89.93+2837.85</f>
        <v>229865.56</v>
      </c>
      <c r="G249" s="52">
        <f t="shared" si="26"/>
        <v>113.20048652908822</v>
      </c>
      <c r="H249" s="52" t="e">
        <f t="shared" si="27"/>
        <v>#DIV/0!</v>
      </c>
    </row>
    <row r="250" spans="1:8" ht="15" customHeight="1">
      <c r="A250" s="18" t="s">
        <v>459</v>
      </c>
      <c r="B250" s="19" t="s">
        <v>215</v>
      </c>
      <c r="C250" s="118">
        <f>118867/7.5345</f>
        <v>15776.362067821354</v>
      </c>
      <c r="D250" s="118"/>
      <c r="E250" s="118"/>
      <c r="F250" s="118">
        <f>11256.93+225</f>
        <v>11481.93</v>
      </c>
      <c r="G250" s="52">
        <f t="shared" si="26"/>
        <v>72.77932612499686</v>
      </c>
      <c r="H250" s="52" t="e">
        <f t="shared" si="27"/>
        <v>#DIV/0!</v>
      </c>
    </row>
    <row r="251" spans="1:8" ht="15" customHeight="1">
      <c r="A251" s="18" t="s">
        <v>460</v>
      </c>
      <c r="B251" s="19" t="s">
        <v>216</v>
      </c>
      <c r="C251" s="118">
        <f>186202.29/7.5345</f>
        <v>24713.29086203464</v>
      </c>
      <c r="D251" s="118"/>
      <c r="E251" s="118"/>
      <c r="F251" s="118">
        <f>72445.69+85.11+1453.51</f>
        <v>73984.31</v>
      </c>
      <c r="G251" s="52">
        <f t="shared" si="26"/>
        <v>299.37053067123935</v>
      </c>
      <c r="H251" s="52" t="e">
        <f t="shared" si="27"/>
        <v>#DIV/0!</v>
      </c>
    </row>
    <row r="252" spans="1:8" ht="15" customHeight="1">
      <c r="A252" s="18" t="s">
        <v>461</v>
      </c>
      <c r="B252" s="19" t="s">
        <v>217</v>
      </c>
      <c r="C252" s="118">
        <f>126621.15/7.5345</f>
        <v>16805.514632689625</v>
      </c>
      <c r="D252" s="118"/>
      <c r="E252" s="118"/>
      <c r="F252" s="118">
        <f>32352.87+7.96</f>
        <v>32360.829999999998</v>
      </c>
      <c r="G252" s="52">
        <f t="shared" si="26"/>
        <v>192.56077964463285</v>
      </c>
      <c r="H252" s="52" t="e">
        <f t="shared" si="27"/>
        <v>#DIV/0!</v>
      </c>
    </row>
    <row r="253" spans="1:8" ht="15" customHeight="1">
      <c r="A253" s="18" t="s">
        <v>462</v>
      </c>
      <c r="B253" s="19" t="s">
        <v>98</v>
      </c>
      <c r="C253" s="118">
        <f>52250.7/7.5345</f>
        <v>6934.859645630101</v>
      </c>
      <c r="D253" s="118"/>
      <c r="E253" s="118"/>
      <c r="F253" s="118">
        <f>10216.66+614.48</f>
        <v>10831.14</v>
      </c>
      <c r="G253" s="52">
        <f t="shared" si="26"/>
        <v>156.18398285573207</v>
      </c>
      <c r="H253" s="52" t="e">
        <f t="shared" si="27"/>
        <v>#DIV/0!</v>
      </c>
    </row>
    <row r="254" spans="1:8" ht="15" customHeight="1">
      <c r="A254" s="18" t="s">
        <v>463</v>
      </c>
      <c r="B254" s="19" t="s">
        <v>218</v>
      </c>
      <c r="C254" s="118">
        <f>819373.62/7.5345</f>
        <v>108749.5679872586</v>
      </c>
      <c r="D254" s="118"/>
      <c r="E254" s="118"/>
      <c r="F254" s="118">
        <f>155550.28+3317.65+9552.43+200</f>
        <v>168620.36</v>
      </c>
      <c r="G254" s="52">
        <f t="shared" si="26"/>
        <v>155.05382055380304</v>
      </c>
      <c r="H254" s="52" t="e">
        <f t="shared" si="27"/>
        <v>#DIV/0!</v>
      </c>
    </row>
    <row r="255" spans="1:8" ht="15" customHeight="1">
      <c r="A255" s="18" t="s">
        <v>464</v>
      </c>
      <c r="B255" s="19" t="s">
        <v>219</v>
      </c>
      <c r="C255" s="118">
        <f>117124.08/7.5345</f>
        <v>15545.036830579334</v>
      </c>
      <c r="D255" s="118"/>
      <c r="E255" s="118"/>
      <c r="F255" s="118">
        <f>13854.23+391.42+1689.98</f>
        <v>15935.63</v>
      </c>
      <c r="G255" s="52">
        <f t="shared" si="26"/>
        <v>102.51265515596792</v>
      </c>
      <c r="H255" s="52" t="e">
        <f t="shared" si="27"/>
        <v>#DIV/0!</v>
      </c>
    </row>
    <row r="256" spans="1:8" ht="15" customHeight="1">
      <c r="A256" s="18" t="s">
        <v>465</v>
      </c>
      <c r="B256" s="19" t="s">
        <v>220</v>
      </c>
      <c r="C256" s="118">
        <f>954070.88/7.5345</f>
        <v>126626.96662021367</v>
      </c>
      <c r="D256" s="118"/>
      <c r="E256" s="118"/>
      <c r="F256" s="118">
        <f>159019.2+1245.78+2132.64+300</f>
        <v>162697.62000000002</v>
      </c>
      <c r="G256" s="52">
        <f t="shared" si="26"/>
        <v>128.48575966284605</v>
      </c>
      <c r="H256" s="52" t="e">
        <f t="shared" si="27"/>
        <v>#DIV/0!</v>
      </c>
    </row>
    <row r="257" spans="1:8" ht="18" customHeight="1">
      <c r="A257" s="24" t="s">
        <v>466</v>
      </c>
      <c r="B257" s="25" t="s">
        <v>351</v>
      </c>
      <c r="C257" s="117">
        <f>C258</f>
        <v>0</v>
      </c>
      <c r="D257" s="117">
        <f>D258</f>
        <v>0</v>
      </c>
      <c r="E257" s="117">
        <f>E258</f>
        <v>0</v>
      </c>
      <c r="F257" s="117">
        <f>F258</f>
        <v>0</v>
      </c>
      <c r="G257" s="52" t="e">
        <f t="shared" si="26"/>
        <v>#DIV/0!</v>
      </c>
      <c r="H257" s="52" t="e">
        <f t="shared" si="27"/>
        <v>#DIV/0!</v>
      </c>
    </row>
    <row r="258" spans="1:8" ht="15.75" customHeight="1">
      <c r="A258" s="18" t="s">
        <v>467</v>
      </c>
      <c r="B258" s="19" t="s">
        <v>303</v>
      </c>
      <c r="C258" s="118">
        <v>0</v>
      </c>
      <c r="D258" s="118">
        <v>0</v>
      </c>
      <c r="E258" s="118">
        <v>0</v>
      </c>
      <c r="F258" s="118">
        <v>0</v>
      </c>
      <c r="G258" s="52" t="e">
        <f t="shared" si="26"/>
        <v>#DIV/0!</v>
      </c>
      <c r="H258" s="52" t="e">
        <f t="shared" si="27"/>
        <v>#DIV/0!</v>
      </c>
    </row>
    <row r="259" spans="1:8" ht="18" customHeight="1">
      <c r="A259" s="24" t="s">
        <v>468</v>
      </c>
      <c r="B259" s="25" t="s">
        <v>261</v>
      </c>
      <c r="C259" s="117">
        <f>SUM(C260:C266)</f>
        <v>41428.28190324508</v>
      </c>
      <c r="D259" s="117">
        <v>0</v>
      </c>
      <c r="E259" s="117">
        <v>0</v>
      </c>
      <c r="F259" s="117">
        <f>SUM(F260:F266)</f>
        <v>64873.39000000001</v>
      </c>
      <c r="G259" s="52">
        <f t="shared" si="26"/>
        <v>156.59203572938532</v>
      </c>
      <c r="H259" s="52" t="e">
        <f t="shared" si="27"/>
        <v>#DIV/0!</v>
      </c>
    </row>
    <row r="260" spans="1:8" ht="15" customHeight="1">
      <c r="A260" s="18" t="s">
        <v>469</v>
      </c>
      <c r="B260" s="19" t="s">
        <v>314</v>
      </c>
      <c r="C260" s="118">
        <f>36216.58/7.5345</f>
        <v>4806.766208772978</v>
      </c>
      <c r="D260" s="118"/>
      <c r="E260" s="118"/>
      <c r="F260" s="118">
        <v>4012.74</v>
      </c>
      <c r="G260" s="52">
        <f t="shared" si="26"/>
        <v>83.48107284011907</v>
      </c>
      <c r="H260" s="52" t="e">
        <f t="shared" si="27"/>
        <v>#DIV/0!</v>
      </c>
    </row>
    <row r="261" spans="1:8" ht="15" customHeight="1">
      <c r="A261" s="18" t="s">
        <v>470</v>
      </c>
      <c r="B261" s="19" t="s">
        <v>222</v>
      </c>
      <c r="C261" s="118">
        <f>166564.76/7.5345</f>
        <v>22106.94273010817</v>
      </c>
      <c r="D261" s="118"/>
      <c r="E261" s="118"/>
      <c r="F261" s="118">
        <f>16684.61+804.88+4099.03</f>
        <v>21588.52</v>
      </c>
      <c r="G261" s="52">
        <f t="shared" si="26"/>
        <v>97.65493249592531</v>
      </c>
      <c r="H261" s="52" t="e">
        <f t="shared" si="27"/>
        <v>#DIV/0!</v>
      </c>
    </row>
    <row r="262" spans="1:8" ht="15" customHeight="1">
      <c r="A262" s="18" t="s">
        <v>471</v>
      </c>
      <c r="B262" s="19" t="s">
        <v>223</v>
      </c>
      <c r="C262" s="118">
        <f>26152.48/7.5345</f>
        <v>3471.0305926073393</v>
      </c>
      <c r="D262" s="118"/>
      <c r="E262" s="118"/>
      <c r="F262" s="118">
        <f>7312.64+78.59</f>
        <v>7391.2300000000005</v>
      </c>
      <c r="G262" s="52">
        <f t="shared" si="26"/>
        <v>212.9405029083284</v>
      </c>
      <c r="H262" s="52" t="e">
        <f t="shared" si="27"/>
        <v>#DIV/0!</v>
      </c>
    </row>
    <row r="263" spans="1:8" ht="15" customHeight="1">
      <c r="A263" s="18" t="s">
        <v>472</v>
      </c>
      <c r="B263" s="19" t="s">
        <v>741</v>
      </c>
      <c r="C263" s="118">
        <f>29129.6/7.5345</f>
        <v>3866.1623199946907</v>
      </c>
      <c r="D263" s="118"/>
      <c r="E263" s="118"/>
      <c r="F263" s="118">
        <v>13118.5</v>
      </c>
      <c r="G263" s="52">
        <f t="shared" si="26"/>
        <v>339.3158102068</v>
      </c>
      <c r="H263" s="52" t="e">
        <f t="shared" si="27"/>
        <v>#DIV/0!</v>
      </c>
    </row>
    <row r="264" spans="1:8" ht="15" customHeight="1">
      <c r="A264" s="18" t="s">
        <v>473</v>
      </c>
      <c r="B264" s="19" t="s">
        <v>332</v>
      </c>
      <c r="C264" s="118">
        <f>18065.4/7.5345</f>
        <v>2397.6906231335856</v>
      </c>
      <c r="D264" s="118"/>
      <c r="E264" s="118"/>
      <c r="F264" s="118">
        <f>3385.03+824.43</f>
        <v>4209.46</v>
      </c>
      <c r="G264" s="52">
        <f t="shared" si="26"/>
        <v>175.5631005679365</v>
      </c>
      <c r="H264" s="52" t="e">
        <f t="shared" si="27"/>
        <v>#DIV/0!</v>
      </c>
    </row>
    <row r="265" spans="1:8" ht="15" customHeight="1">
      <c r="A265" s="18" t="s">
        <v>669</v>
      </c>
      <c r="B265" s="19" t="s">
        <v>670</v>
      </c>
      <c r="C265" s="118">
        <f>11100/7.5345</f>
        <v>1473.2231734023492</v>
      </c>
      <c r="D265" s="118"/>
      <c r="E265" s="118"/>
      <c r="F265" s="118">
        <v>8087.8</v>
      </c>
      <c r="G265" s="52">
        <f>F265/C265*100</f>
        <v>548.9867486486487</v>
      </c>
      <c r="H265" s="52" t="e">
        <f>F265/E265*100</f>
        <v>#DIV/0!</v>
      </c>
    </row>
    <row r="266" spans="1:8" ht="15" customHeight="1">
      <c r="A266" s="18" t="s">
        <v>474</v>
      </c>
      <c r="B266" s="19" t="s">
        <v>221</v>
      </c>
      <c r="C266" s="118">
        <f>24912.57/7.5345</f>
        <v>3306.46625522596</v>
      </c>
      <c r="D266" s="118"/>
      <c r="E266" s="118"/>
      <c r="F266" s="118">
        <f>5444.7+23.93+996.51</f>
        <v>6465.14</v>
      </c>
      <c r="G266" s="52">
        <f t="shared" si="26"/>
        <v>195.53019752679072</v>
      </c>
      <c r="H266" s="52" t="e">
        <f t="shared" si="27"/>
        <v>#DIV/0!</v>
      </c>
    </row>
    <row r="267" spans="1:8" ht="21" customHeight="1">
      <c r="A267" s="24" t="s">
        <v>475</v>
      </c>
      <c r="B267" s="25" t="s">
        <v>224</v>
      </c>
      <c r="C267" s="117">
        <f>C268+C270</f>
        <v>108378.6103921959</v>
      </c>
      <c r="D267" s="117">
        <v>21061</v>
      </c>
      <c r="E267" s="117">
        <v>21061</v>
      </c>
      <c r="F267" s="117">
        <f>F268+F270</f>
        <v>7175.719999999999</v>
      </c>
      <c r="G267" s="52">
        <f t="shared" si="26"/>
        <v>6.620974354656154</v>
      </c>
      <c r="H267" s="52">
        <f t="shared" si="27"/>
        <v>34.071126727125964</v>
      </c>
    </row>
    <row r="268" spans="1:8" ht="18" customHeight="1">
      <c r="A268" s="24" t="s">
        <v>1143</v>
      </c>
      <c r="B268" s="25" t="s">
        <v>1144</v>
      </c>
      <c r="C268" s="117">
        <f>C269</f>
        <v>151.4194704359944</v>
      </c>
      <c r="D268" s="117">
        <v>0</v>
      </c>
      <c r="E268" s="117">
        <v>0</v>
      </c>
      <c r="F268" s="117">
        <f>F269</f>
        <v>164.78</v>
      </c>
      <c r="G268" s="52">
        <f>F268/C268*100</f>
        <v>108.82352152304821</v>
      </c>
      <c r="H268" s="52" t="e">
        <f>F268/E268*100</f>
        <v>#DIV/0!</v>
      </c>
    </row>
    <row r="269" spans="1:8" ht="15" customHeight="1">
      <c r="A269" s="18" t="s">
        <v>1352</v>
      </c>
      <c r="B269" s="19" t="s">
        <v>1145</v>
      </c>
      <c r="C269" s="118">
        <f>1140.87/7.5345</f>
        <v>151.4194704359944</v>
      </c>
      <c r="D269" s="118"/>
      <c r="E269" s="118"/>
      <c r="F269" s="118">
        <v>164.78</v>
      </c>
      <c r="G269" s="52">
        <f>F269/C269*100</f>
        <v>108.82352152304821</v>
      </c>
      <c r="H269" s="52" t="e">
        <f>F269/E269*100</f>
        <v>#DIV/0!</v>
      </c>
    </row>
    <row r="270" spans="1:8" ht="18" customHeight="1">
      <c r="A270" s="24" t="s">
        <v>476</v>
      </c>
      <c r="B270" s="25" t="s">
        <v>262</v>
      </c>
      <c r="C270" s="117">
        <f>SUM(C271:C274)</f>
        <v>108227.1909217599</v>
      </c>
      <c r="D270" s="117">
        <v>0</v>
      </c>
      <c r="E270" s="117">
        <v>0</v>
      </c>
      <c r="F270" s="117">
        <f>SUM(F271:F274)</f>
        <v>7010.94</v>
      </c>
      <c r="G270" s="52">
        <f t="shared" si="26"/>
        <v>6.477983896919564</v>
      </c>
      <c r="H270" s="52" t="e">
        <f t="shared" si="27"/>
        <v>#DIV/0!</v>
      </c>
    </row>
    <row r="271" spans="1:8" ht="15" customHeight="1">
      <c r="A271" s="18" t="s">
        <v>477</v>
      </c>
      <c r="B271" s="19" t="s">
        <v>225</v>
      </c>
      <c r="C271" s="118">
        <f>40267.59/7.5345</f>
        <v>5344.427632888711</v>
      </c>
      <c r="D271" s="118"/>
      <c r="E271" s="118"/>
      <c r="F271" s="118">
        <v>5476.58</v>
      </c>
      <c r="G271" s="52">
        <f t="shared" si="26"/>
        <v>102.47271319192434</v>
      </c>
      <c r="H271" s="52" t="e">
        <f t="shared" si="27"/>
        <v>#DIV/0!</v>
      </c>
    </row>
    <row r="272" spans="1:8" ht="15" customHeight="1">
      <c r="A272" s="18" t="s">
        <v>748</v>
      </c>
      <c r="B272" s="19" t="s">
        <v>749</v>
      </c>
      <c r="C272" s="118">
        <f>138.79/7.5345</f>
        <v>18.42059857986595</v>
      </c>
      <c r="D272" s="118"/>
      <c r="E272" s="118"/>
      <c r="F272" s="118">
        <v>0</v>
      </c>
      <c r="G272" s="47">
        <f>F272/C272*100</f>
        <v>0</v>
      </c>
      <c r="H272" s="52" t="e">
        <f>F272/E272*100</f>
        <v>#DIV/0!</v>
      </c>
    </row>
    <row r="273" spans="1:8" ht="15" customHeight="1">
      <c r="A273" s="18" t="s">
        <v>478</v>
      </c>
      <c r="B273" s="19" t="s">
        <v>226</v>
      </c>
      <c r="C273" s="118">
        <f>725031.39/7.5345</f>
        <v>96228.20226956002</v>
      </c>
      <c r="D273" s="118"/>
      <c r="E273" s="118"/>
      <c r="F273" s="118">
        <v>1534.08</v>
      </c>
      <c r="G273" s="47">
        <f t="shared" si="26"/>
        <v>1.594210391359745</v>
      </c>
      <c r="H273" s="52" t="e">
        <f t="shared" si="27"/>
        <v>#DIV/0!</v>
      </c>
    </row>
    <row r="274" spans="1:8" ht="15" customHeight="1">
      <c r="A274" s="18" t="s">
        <v>921</v>
      </c>
      <c r="B274" s="19" t="s">
        <v>922</v>
      </c>
      <c r="C274" s="118">
        <f>50000/7.5345</f>
        <v>6636.140420731303</v>
      </c>
      <c r="D274" s="118"/>
      <c r="E274" s="118"/>
      <c r="F274" s="118">
        <v>0.28</v>
      </c>
      <c r="G274" s="47">
        <f>F274/C274*100</f>
        <v>0.00421932</v>
      </c>
      <c r="H274" s="52" t="e">
        <f>F274/E274*100</f>
        <v>#DIV/0!</v>
      </c>
    </row>
    <row r="275" spans="1:8" ht="21" customHeight="1">
      <c r="A275" s="24" t="s">
        <v>479</v>
      </c>
      <c r="B275" s="25" t="s">
        <v>227</v>
      </c>
      <c r="C275" s="117">
        <f aca="true" t="shared" si="28" ref="C275:F276">C276</f>
        <v>0</v>
      </c>
      <c r="D275" s="117">
        <v>0</v>
      </c>
      <c r="E275" s="117">
        <v>0</v>
      </c>
      <c r="F275" s="117">
        <f t="shared" si="28"/>
        <v>0</v>
      </c>
      <c r="G275" s="52" t="e">
        <f t="shared" si="26"/>
        <v>#DIV/0!</v>
      </c>
      <c r="H275" s="52" t="e">
        <f t="shared" si="27"/>
        <v>#DIV/0!</v>
      </c>
    </row>
    <row r="276" spans="1:8" ht="18" customHeight="1">
      <c r="A276" s="24" t="s">
        <v>480</v>
      </c>
      <c r="B276" s="25" t="s">
        <v>263</v>
      </c>
      <c r="C276" s="117">
        <f t="shared" si="28"/>
        <v>0</v>
      </c>
      <c r="D276" s="117">
        <v>0</v>
      </c>
      <c r="E276" s="117">
        <v>0</v>
      </c>
      <c r="F276" s="117">
        <f t="shared" si="28"/>
        <v>0</v>
      </c>
      <c r="G276" s="52" t="e">
        <f t="shared" si="26"/>
        <v>#DIV/0!</v>
      </c>
      <c r="H276" s="52" t="e">
        <f t="shared" si="27"/>
        <v>#DIV/0!</v>
      </c>
    </row>
    <row r="277" spans="1:8" ht="15" customHeight="1">
      <c r="A277" s="18" t="s">
        <v>481</v>
      </c>
      <c r="B277" s="19" t="s">
        <v>228</v>
      </c>
      <c r="C277" s="118">
        <v>0</v>
      </c>
      <c r="D277" s="118">
        <v>0</v>
      </c>
      <c r="E277" s="118">
        <v>0</v>
      </c>
      <c r="F277" s="118">
        <v>0</v>
      </c>
      <c r="G277" s="52" t="e">
        <f t="shared" si="26"/>
        <v>#DIV/0!</v>
      </c>
      <c r="H277" s="52" t="e">
        <f t="shared" si="27"/>
        <v>#DIV/0!</v>
      </c>
    </row>
    <row r="278" spans="1:8" ht="21" customHeight="1">
      <c r="A278" s="24" t="s">
        <v>580</v>
      </c>
      <c r="B278" s="25" t="s">
        <v>582</v>
      </c>
      <c r="C278" s="117">
        <f>C279+C282</f>
        <v>54814.519875240556</v>
      </c>
      <c r="D278" s="117">
        <v>203400</v>
      </c>
      <c r="E278" s="117">
        <v>203400</v>
      </c>
      <c r="F278" s="117">
        <f>F279+F282</f>
        <v>94821.82</v>
      </c>
      <c r="G278" s="52">
        <f aca="true" t="shared" si="29" ref="G278:G284">F278/C278*100</f>
        <v>172.9866834842615</v>
      </c>
      <c r="H278" s="52">
        <f aca="true" t="shared" si="30" ref="H278:H284">F278/E278*100</f>
        <v>46.61839724680433</v>
      </c>
    </row>
    <row r="279" spans="1:8" ht="18" customHeight="1">
      <c r="A279" s="24" t="s">
        <v>639</v>
      </c>
      <c r="B279" s="25" t="s">
        <v>640</v>
      </c>
      <c r="C279" s="117">
        <f>C280+C281</f>
        <v>5308.912336585042</v>
      </c>
      <c r="D279" s="117">
        <v>0</v>
      </c>
      <c r="E279" s="117">
        <v>0</v>
      </c>
      <c r="F279" s="117">
        <f>F280+F281</f>
        <v>5309</v>
      </c>
      <c r="G279" s="52">
        <f t="shared" si="29"/>
        <v>100.00165125</v>
      </c>
      <c r="H279" s="52" t="e">
        <f t="shared" si="30"/>
        <v>#DIV/0!</v>
      </c>
    </row>
    <row r="280" spans="1:8" ht="15" customHeight="1">
      <c r="A280" s="18" t="s">
        <v>584</v>
      </c>
      <c r="B280" s="19" t="s">
        <v>585</v>
      </c>
      <c r="C280" s="118">
        <f>40000/7.5345</f>
        <v>5308.912336585042</v>
      </c>
      <c r="D280" s="118">
        <v>0</v>
      </c>
      <c r="E280" s="118">
        <v>0</v>
      </c>
      <c r="F280" s="118">
        <v>5309</v>
      </c>
      <c r="G280" s="52">
        <f t="shared" si="29"/>
        <v>100.00165125</v>
      </c>
      <c r="H280" s="52" t="e">
        <f t="shared" si="30"/>
        <v>#DIV/0!</v>
      </c>
    </row>
    <row r="281" spans="1:8" ht="15" customHeight="1">
      <c r="A281" s="18" t="s">
        <v>902</v>
      </c>
      <c r="B281" s="19" t="s">
        <v>903</v>
      </c>
      <c r="C281" s="118">
        <v>0</v>
      </c>
      <c r="D281" s="118">
        <v>0</v>
      </c>
      <c r="E281" s="118">
        <v>0</v>
      </c>
      <c r="F281" s="118">
        <v>0</v>
      </c>
      <c r="G281" s="52" t="e">
        <f>F281/C281*100</f>
        <v>#DIV/0!</v>
      </c>
      <c r="H281" s="52" t="e">
        <f>F281/E281*100</f>
        <v>#DIV/0!</v>
      </c>
    </row>
    <row r="282" spans="1:8" ht="18" customHeight="1">
      <c r="A282" s="24" t="s">
        <v>581</v>
      </c>
      <c r="B282" s="25" t="s">
        <v>583</v>
      </c>
      <c r="C282" s="117">
        <f>SUM(C283:C284)</f>
        <v>49505.60753865552</v>
      </c>
      <c r="D282" s="117">
        <v>0</v>
      </c>
      <c r="E282" s="117">
        <v>0</v>
      </c>
      <c r="F282" s="117">
        <f>SUM(F283:F284)</f>
        <v>89512.82</v>
      </c>
      <c r="G282" s="52">
        <f t="shared" si="29"/>
        <v>180.8134965924933</v>
      </c>
      <c r="H282" s="52" t="e">
        <f t="shared" si="30"/>
        <v>#DIV/0!</v>
      </c>
    </row>
    <row r="283" spans="1:8" ht="15" customHeight="1">
      <c r="A283" s="18" t="s">
        <v>586</v>
      </c>
      <c r="B283" s="19" t="s">
        <v>587</v>
      </c>
      <c r="C283" s="118">
        <f>323000/7.5345</f>
        <v>42869.467117924214</v>
      </c>
      <c r="D283" s="118"/>
      <c r="E283" s="118"/>
      <c r="F283" s="118">
        <v>49515.34</v>
      </c>
      <c r="G283" s="52">
        <f t="shared" si="29"/>
        <v>115.50257870897833</v>
      </c>
      <c r="H283" s="52" t="e">
        <f t="shared" si="30"/>
        <v>#DIV/0!</v>
      </c>
    </row>
    <row r="284" spans="1:8" ht="15" customHeight="1">
      <c r="A284" s="18" t="s">
        <v>588</v>
      </c>
      <c r="B284" s="19" t="s">
        <v>589</v>
      </c>
      <c r="C284" s="118">
        <f>50000/7.5345</f>
        <v>6636.140420731303</v>
      </c>
      <c r="D284" s="118"/>
      <c r="E284" s="118"/>
      <c r="F284" s="118">
        <v>39997.48</v>
      </c>
      <c r="G284" s="52">
        <f t="shared" si="29"/>
        <v>602.7220261200001</v>
      </c>
      <c r="H284" s="52" t="e">
        <f t="shared" si="30"/>
        <v>#DIV/0!</v>
      </c>
    </row>
    <row r="285" spans="1:8" ht="21" customHeight="1">
      <c r="A285" s="24" t="s">
        <v>482</v>
      </c>
      <c r="B285" s="25" t="s">
        <v>229</v>
      </c>
      <c r="C285" s="117">
        <f>C286</f>
        <v>42962.37573827062</v>
      </c>
      <c r="D285" s="117">
        <v>241700</v>
      </c>
      <c r="E285" s="117">
        <v>241700</v>
      </c>
      <c r="F285" s="117">
        <f>F286</f>
        <v>104795.43</v>
      </c>
      <c r="G285" s="52">
        <f t="shared" si="26"/>
        <v>243.92373140261162</v>
      </c>
      <c r="H285" s="52">
        <f t="shared" si="27"/>
        <v>43.35764584195283</v>
      </c>
    </row>
    <row r="286" spans="1:8" ht="18" customHeight="1">
      <c r="A286" s="24" t="s">
        <v>483</v>
      </c>
      <c r="B286" s="25" t="s">
        <v>518</v>
      </c>
      <c r="C286" s="117">
        <f>SUM(C287:C290)-C289</f>
        <v>42962.37573827062</v>
      </c>
      <c r="D286" s="117">
        <v>0</v>
      </c>
      <c r="E286" s="117">
        <v>0</v>
      </c>
      <c r="F286" s="117">
        <f>SUM(F287:F290)-F289</f>
        <v>104795.43</v>
      </c>
      <c r="G286" s="52">
        <f t="shared" si="26"/>
        <v>243.92373140261162</v>
      </c>
      <c r="H286" s="52" t="e">
        <f t="shared" si="27"/>
        <v>#DIV/0!</v>
      </c>
    </row>
    <row r="287" spans="1:8" ht="15" customHeight="1">
      <c r="A287" s="18" t="s">
        <v>484</v>
      </c>
      <c r="B287" s="19" t="s">
        <v>230</v>
      </c>
      <c r="C287" s="118">
        <f>304800/7.5345</f>
        <v>40453.912004778016</v>
      </c>
      <c r="D287" s="118"/>
      <c r="E287" s="118"/>
      <c r="F287" s="118">
        <v>96044.97</v>
      </c>
      <c r="G287" s="52">
        <f t="shared" si="26"/>
        <v>237.4182501525591</v>
      </c>
      <c r="H287" s="52" t="e">
        <f t="shared" si="27"/>
        <v>#DIV/0!</v>
      </c>
    </row>
    <row r="288" spans="1:8" ht="27" customHeight="1">
      <c r="A288" s="90" t="s">
        <v>790</v>
      </c>
      <c r="B288" s="90" t="s">
        <v>883</v>
      </c>
      <c r="C288" s="149" t="s">
        <v>1386</v>
      </c>
      <c r="D288" s="166" t="s">
        <v>1387</v>
      </c>
      <c r="E288" s="166" t="s">
        <v>1388</v>
      </c>
      <c r="F288" s="46" t="s">
        <v>1389</v>
      </c>
      <c r="G288" s="53" t="s">
        <v>793</v>
      </c>
      <c r="H288" s="53" t="s">
        <v>794</v>
      </c>
    </row>
    <row r="289" spans="1:8" ht="9.75" customHeight="1">
      <c r="A289" s="94">
        <v>1</v>
      </c>
      <c r="B289" s="94">
        <v>2</v>
      </c>
      <c r="C289" s="150">
        <v>3</v>
      </c>
      <c r="D289" s="150">
        <v>4</v>
      </c>
      <c r="E289" s="150">
        <v>5</v>
      </c>
      <c r="F289" s="53">
        <v>6</v>
      </c>
      <c r="G289" s="53">
        <v>7</v>
      </c>
      <c r="H289" s="53">
        <v>8</v>
      </c>
    </row>
    <row r="290" spans="1:8" ht="15" customHeight="1">
      <c r="A290" s="18" t="s">
        <v>485</v>
      </c>
      <c r="B290" s="19" t="s">
        <v>231</v>
      </c>
      <c r="C290" s="118">
        <f>18900.02/7.5345</f>
        <v>2508.4637334926006</v>
      </c>
      <c r="D290" s="118"/>
      <c r="E290" s="118"/>
      <c r="F290" s="118">
        <v>8750.46</v>
      </c>
      <c r="G290" s="52">
        <f t="shared" si="26"/>
        <v>348.8374132408326</v>
      </c>
      <c r="H290" s="52" t="e">
        <f t="shared" si="27"/>
        <v>#DIV/0!</v>
      </c>
    </row>
    <row r="291" spans="1:8" ht="21" customHeight="1">
      <c r="A291" s="24" t="s">
        <v>486</v>
      </c>
      <c r="B291" s="25" t="s">
        <v>315</v>
      </c>
      <c r="C291" s="117">
        <f>C292+C294+C296+C298+C300</f>
        <v>285265.0408122636</v>
      </c>
      <c r="D291" s="117">
        <v>1839280</v>
      </c>
      <c r="E291" s="117">
        <v>1839280</v>
      </c>
      <c r="F291" s="117">
        <f>F292+F294+F296+F298+F300</f>
        <v>450786.29000000004</v>
      </c>
      <c r="G291" s="52">
        <f t="shared" si="26"/>
        <v>158.02367115032087</v>
      </c>
      <c r="H291" s="52">
        <f t="shared" si="27"/>
        <v>24.508845309033973</v>
      </c>
    </row>
    <row r="292" spans="1:8" ht="18" customHeight="1">
      <c r="A292" s="24" t="s">
        <v>487</v>
      </c>
      <c r="B292" s="25" t="s">
        <v>264</v>
      </c>
      <c r="C292" s="117">
        <f>SUM(C293)</f>
        <v>113009.15256486826</v>
      </c>
      <c r="D292" s="117">
        <v>0</v>
      </c>
      <c r="E292" s="117">
        <v>0</v>
      </c>
      <c r="F292" s="117">
        <f>SUM(F293)</f>
        <v>165349.17</v>
      </c>
      <c r="G292" s="52">
        <f t="shared" si="26"/>
        <v>146.31484817576003</v>
      </c>
      <c r="H292" s="52" t="e">
        <f t="shared" si="27"/>
        <v>#DIV/0!</v>
      </c>
    </row>
    <row r="293" spans="1:8" ht="15" customHeight="1">
      <c r="A293" s="18" t="s">
        <v>488</v>
      </c>
      <c r="B293" s="19" t="s">
        <v>232</v>
      </c>
      <c r="C293" s="118">
        <f>851467.46/7.5345</f>
        <v>113009.15256486826</v>
      </c>
      <c r="D293" s="118">
        <v>0</v>
      </c>
      <c r="E293" s="118">
        <v>0</v>
      </c>
      <c r="F293" s="118">
        <v>165349.17</v>
      </c>
      <c r="G293" s="52">
        <f t="shared" si="26"/>
        <v>146.31484817576003</v>
      </c>
      <c r="H293" s="52" t="e">
        <f t="shared" si="27"/>
        <v>#DIV/0!</v>
      </c>
    </row>
    <row r="294" spans="1:8" ht="18" customHeight="1">
      <c r="A294" s="24" t="s">
        <v>489</v>
      </c>
      <c r="B294" s="25" t="s">
        <v>265</v>
      </c>
      <c r="C294" s="117">
        <f>C295</f>
        <v>24747.48158471033</v>
      </c>
      <c r="D294" s="117">
        <v>0</v>
      </c>
      <c r="E294" s="117">
        <v>0</v>
      </c>
      <c r="F294" s="117">
        <f>F295</f>
        <v>24747.5</v>
      </c>
      <c r="G294" s="52">
        <f>F294/C294*100</f>
        <v>100.0000744127826</v>
      </c>
      <c r="H294" s="52" t="e">
        <f>F294/E294*100</f>
        <v>#DIV/0!</v>
      </c>
    </row>
    <row r="295" spans="1:8" ht="15" customHeight="1">
      <c r="A295" s="18" t="s">
        <v>490</v>
      </c>
      <c r="B295" s="19" t="s">
        <v>233</v>
      </c>
      <c r="C295" s="118">
        <f>186459.9/7.5345</f>
        <v>24747.48158471033</v>
      </c>
      <c r="D295" s="118">
        <v>0</v>
      </c>
      <c r="E295" s="118">
        <v>0</v>
      </c>
      <c r="F295" s="118">
        <v>24747.5</v>
      </c>
      <c r="G295" s="52">
        <f>F295/C295*100</f>
        <v>100.0000744127826</v>
      </c>
      <c r="H295" s="52" t="e">
        <f>F295/E295*100</f>
        <v>#DIV/0!</v>
      </c>
    </row>
    <row r="296" spans="1:8" ht="18" customHeight="1">
      <c r="A296" s="24" t="s">
        <v>904</v>
      </c>
      <c r="B296" s="25" t="s">
        <v>905</v>
      </c>
      <c r="C296" s="117">
        <f>C297</f>
        <v>132756.2665073993</v>
      </c>
      <c r="D296" s="117">
        <v>0</v>
      </c>
      <c r="E296" s="117">
        <v>0</v>
      </c>
      <c r="F296" s="117">
        <f>F297</f>
        <v>3075.12</v>
      </c>
      <c r="G296" s="52">
        <f>F296/C296*100</f>
        <v>2.3163652314887937</v>
      </c>
      <c r="H296" s="52" t="e">
        <f>F296/E296*100</f>
        <v>#DIV/0!</v>
      </c>
    </row>
    <row r="297" spans="1:8" ht="15" customHeight="1">
      <c r="A297" s="18" t="s">
        <v>906</v>
      </c>
      <c r="B297" s="19" t="s">
        <v>907</v>
      </c>
      <c r="C297" s="118">
        <f>1000252.09/7.5345</f>
        <v>132756.2665073993</v>
      </c>
      <c r="D297" s="118">
        <v>0</v>
      </c>
      <c r="E297" s="118">
        <v>0</v>
      </c>
      <c r="F297" s="118">
        <v>3075.12</v>
      </c>
      <c r="G297" s="52">
        <f>F297/C297*100</f>
        <v>2.3163652314887937</v>
      </c>
      <c r="H297" s="52" t="e">
        <f>F297/E297*100</f>
        <v>#DIV/0!</v>
      </c>
    </row>
    <row r="298" spans="1:8" ht="18" customHeight="1">
      <c r="A298" s="24" t="s">
        <v>491</v>
      </c>
      <c r="B298" s="25" t="s">
        <v>266</v>
      </c>
      <c r="C298" s="117">
        <f>SUM(C299)</f>
        <v>0</v>
      </c>
      <c r="D298" s="117">
        <v>0</v>
      </c>
      <c r="E298" s="117">
        <v>0</v>
      </c>
      <c r="F298" s="117">
        <f>SUM(F299)</f>
        <v>0</v>
      </c>
      <c r="G298" s="52" t="e">
        <f aca="true" t="shared" si="31" ref="G298:G337">F298/C298*100</f>
        <v>#DIV/0!</v>
      </c>
      <c r="H298" s="52" t="e">
        <f t="shared" si="27"/>
        <v>#DIV/0!</v>
      </c>
    </row>
    <row r="299" spans="1:8" ht="15" customHeight="1">
      <c r="A299" s="18" t="s">
        <v>492</v>
      </c>
      <c r="B299" s="19" t="s">
        <v>234</v>
      </c>
      <c r="C299" s="118">
        <v>0</v>
      </c>
      <c r="D299" s="118"/>
      <c r="E299" s="118"/>
      <c r="F299" s="118">
        <v>0</v>
      </c>
      <c r="G299" s="52" t="e">
        <f t="shared" si="31"/>
        <v>#DIV/0!</v>
      </c>
      <c r="H299" s="52" t="e">
        <f t="shared" si="27"/>
        <v>#DIV/0!</v>
      </c>
    </row>
    <row r="300" spans="1:8" ht="18" customHeight="1">
      <c r="A300" s="24" t="s">
        <v>493</v>
      </c>
      <c r="B300" s="25" t="s">
        <v>267</v>
      </c>
      <c r="C300" s="117">
        <f>SUM(C301)</f>
        <v>14752.140155285684</v>
      </c>
      <c r="D300" s="117">
        <v>0</v>
      </c>
      <c r="E300" s="117">
        <v>0</v>
      </c>
      <c r="F300" s="117">
        <f>SUM(F301)</f>
        <v>257614.5</v>
      </c>
      <c r="G300" s="52">
        <f t="shared" si="31"/>
        <v>1746.285605263158</v>
      </c>
      <c r="H300" s="52" t="e">
        <f t="shared" si="27"/>
        <v>#DIV/0!</v>
      </c>
    </row>
    <row r="301" spans="1:8" ht="15" customHeight="1">
      <c r="A301" s="18" t="s">
        <v>494</v>
      </c>
      <c r="B301" s="19" t="s">
        <v>235</v>
      </c>
      <c r="C301" s="118">
        <f>111150/7.5345</f>
        <v>14752.140155285684</v>
      </c>
      <c r="D301" s="118"/>
      <c r="E301" s="118"/>
      <c r="F301" s="118">
        <v>257614.5</v>
      </c>
      <c r="G301" s="52">
        <f t="shared" si="31"/>
        <v>1746.285605263158</v>
      </c>
      <c r="H301" s="52" t="e">
        <f t="shared" si="27"/>
        <v>#DIV/0!</v>
      </c>
    </row>
    <row r="302" spans="1:8" ht="24.75" customHeight="1">
      <c r="A302" s="26" t="s">
        <v>495</v>
      </c>
      <c r="B302" s="27" t="s">
        <v>236</v>
      </c>
      <c r="C302" s="116">
        <f>C303+C308+C330+C333</f>
        <v>585937.9056340832</v>
      </c>
      <c r="D302" s="116">
        <f>D303+D308+D330+D333</f>
        <v>4311377</v>
      </c>
      <c r="E302" s="116">
        <f>E303+E308+E330+E333</f>
        <v>4311377</v>
      </c>
      <c r="F302" s="116">
        <f>F303+F308+F330+F333</f>
        <v>386068.25999999995</v>
      </c>
      <c r="G302" s="54">
        <f>F302/C302*100</f>
        <v>65.8889374262635</v>
      </c>
      <c r="H302" s="54">
        <f>F302/E302*100</f>
        <v>8.954639318250294</v>
      </c>
    </row>
    <row r="303" spans="1:8" ht="21" customHeight="1">
      <c r="A303" s="24" t="s">
        <v>496</v>
      </c>
      <c r="B303" s="25" t="s">
        <v>316</v>
      </c>
      <c r="C303" s="117">
        <f>C304+C306</f>
        <v>0</v>
      </c>
      <c r="D303" s="117">
        <v>931000</v>
      </c>
      <c r="E303" s="117">
        <v>931000</v>
      </c>
      <c r="F303" s="117">
        <f>F304+F306</f>
        <v>540</v>
      </c>
      <c r="G303" s="52" t="e">
        <f t="shared" si="31"/>
        <v>#DIV/0!</v>
      </c>
      <c r="H303" s="52">
        <f aca="true" t="shared" si="32" ref="H303:H337">F303/E303*100</f>
        <v>0.05800214822771214</v>
      </c>
    </row>
    <row r="304" spans="1:8" ht="18" customHeight="1">
      <c r="A304" s="24" t="s">
        <v>497</v>
      </c>
      <c r="B304" s="25" t="s">
        <v>268</v>
      </c>
      <c r="C304" s="117">
        <f>SUM(C305)</f>
        <v>0</v>
      </c>
      <c r="D304" s="117">
        <v>0</v>
      </c>
      <c r="E304" s="117">
        <v>0</v>
      </c>
      <c r="F304" s="117">
        <f>SUM(F305)</f>
        <v>540</v>
      </c>
      <c r="G304" s="52" t="e">
        <f t="shared" si="31"/>
        <v>#DIV/0!</v>
      </c>
      <c r="H304" s="52" t="e">
        <f t="shared" si="32"/>
        <v>#DIV/0!</v>
      </c>
    </row>
    <row r="305" spans="1:8" ht="15" customHeight="1">
      <c r="A305" s="18" t="s">
        <v>498</v>
      </c>
      <c r="B305" s="19" t="s">
        <v>237</v>
      </c>
      <c r="C305" s="118">
        <v>0</v>
      </c>
      <c r="D305" s="118">
        <v>0</v>
      </c>
      <c r="E305" s="118">
        <v>0</v>
      </c>
      <c r="F305" s="118">
        <v>540</v>
      </c>
      <c r="G305" s="52" t="e">
        <f>F305/C305*100</f>
        <v>#DIV/0!</v>
      </c>
      <c r="H305" s="52" t="e">
        <f t="shared" si="32"/>
        <v>#DIV/0!</v>
      </c>
    </row>
    <row r="306" spans="1:8" ht="18" customHeight="1">
      <c r="A306" s="24" t="s">
        <v>1146</v>
      </c>
      <c r="B306" s="25" t="s">
        <v>1147</v>
      </c>
      <c r="C306" s="117">
        <f>SUM(C307)</f>
        <v>0</v>
      </c>
      <c r="D306" s="117">
        <v>0</v>
      </c>
      <c r="E306" s="117">
        <v>0</v>
      </c>
      <c r="F306" s="117">
        <f>SUM(F307)</f>
        <v>0</v>
      </c>
      <c r="G306" s="52" t="e">
        <f>F306/C306*100</f>
        <v>#DIV/0!</v>
      </c>
      <c r="H306" s="52" t="e">
        <f>F306/E306*100</f>
        <v>#DIV/0!</v>
      </c>
    </row>
    <row r="307" spans="1:8" ht="15" customHeight="1">
      <c r="A307" s="18" t="s">
        <v>1148</v>
      </c>
      <c r="B307" s="19" t="s">
        <v>1149</v>
      </c>
      <c r="C307" s="118">
        <v>0</v>
      </c>
      <c r="D307" s="118"/>
      <c r="E307" s="118"/>
      <c r="F307" s="118">
        <v>0</v>
      </c>
      <c r="G307" s="52" t="e">
        <f>F307/C307*100</f>
        <v>#DIV/0!</v>
      </c>
      <c r="H307" s="52" t="e">
        <f>F307/E307*100</f>
        <v>#DIV/0!</v>
      </c>
    </row>
    <row r="308" spans="1:8" ht="21" customHeight="1">
      <c r="A308" s="24" t="s">
        <v>499</v>
      </c>
      <c r="B308" s="25" t="s">
        <v>327</v>
      </c>
      <c r="C308" s="117">
        <f>C309+C314+C322+C324+C327</f>
        <v>455543.2304731568</v>
      </c>
      <c r="D308" s="117">
        <v>3167377</v>
      </c>
      <c r="E308" s="117">
        <v>3167377</v>
      </c>
      <c r="F308" s="117">
        <f>F309+F314+F322+F324+F327</f>
        <v>382778.25999999995</v>
      </c>
      <c r="G308" s="52">
        <f t="shared" si="31"/>
        <v>84.02676944675956</v>
      </c>
      <c r="H308" s="52">
        <f t="shared" si="32"/>
        <v>12.085023664691635</v>
      </c>
    </row>
    <row r="309" spans="1:8" ht="18" customHeight="1">
      <c r="A309" s="24" t="s">
        <v>500</v>
      </c>
      <c r="B309" s="25" t="s">
        <v>269</v>
      </c>
      <c r="C309" s="117">
        <f>SUM(C310:C313)</f>
        <v>393970.5567721813</v>
      </c>
      <c r="D309" s="117">
        <v>0</v>
      </c>
      <c r="E309" s="117">
        <v>0</v>
      </c>
      <c r="F309" s="117">
        <f>SUM(F310:F313)</f>
        <v>350343.58</v>
      </c>
      <c r="G309" s="52">
        <f t="shared" si="31"/>
        <v>88.92633573188334</v>
      </c>
      <c r="H309" s="52" t="e">
        <f t="shared" si="32"/>
        <v>#DIV/0!</v>
      </c>
    </row>
    <row r="310" spans="1:8" ht="14.25" customHeight="1">
      <c r="A310" s="18" t="s">
        <v>1169</v>
      </c>
      <c r="B310" s="19" t="s">
        <v>1170</v>
      </c>
      <c r="C310" s="118">
        <v>0</v>
      </c>
      <c r="D310" s="118"/>
      <c r="E310" s="118"/>
      <c r="F310" s="118">
        <v>0</v>
      </c>
      <c r="G310" s="52" t="e">
        <f>F310/C310*100</f>
        <v>#DIV/0!</v>
      </c>
      <c r="H310" s="52" t="e">
        <f>F310/E310*100</f>
        <v>#DIV/0!</v>
      </c>
    </row>
    <row r="311" spans="1:8" ht="14.25" customHeight="1">
      <c r="A311" s="18" t="s">
        <v>501</v>
      </c>
      <c r="B311" s="19" t="s">
        <v>238</v>
      </c>
      <c r="C311" s="118">
        <v>0</v>
      </c>
      <c r="D311" s="118"/>
      <c r="E311" s="118"/>
      <c r="F311" s="118">
        <v>42512.7</v>
      </c>
      <c r="G311" s="52" t="e">
        <f t="shared" si="31"/>
        <v>#DIV/0!</v>
      </c>
      <c r="H311" s="52" t="e">
        <f t="shared" si="32"/>
        <v>#DIV/0!</v>
      </c>
    </row>
    <row r="312" spans="1:8" ht="14.25" customHeight="1">
      <c r="A312" s="18" t="s">
        <v>502</v>
      </c>
      <c r="B312" s="19" t="s">
        <v>317</v>
      </c>
      <c r="C312" s="118">
        <f>1138135.75/7.5345</f>
        <v>151056.57309708672</v>
      </c>
      <c r="D312" s="118"/>
      <c r="E312" s="118"/>
      <c r="F312" s="118">
        <v>113627.25</v>
      </c>
      <c r="G312" s="52">
        <f t="shared" si="31"/>
        <v>75.22165217330183</v>
      </c>
      <c r="H312" s="52" t="e">
        <f t="shared" si="32"/>
        <v>#DIV/0!</v>
      </c>
    </row>
    <row r="313" spans="1:8" ht="14.25" customHeight="1">
      <c r="A313" s="18" t="s">
        <v>503</v>
      </c>
      <c r="B313" s="19" t="s">
        <v>299</v>
      </c>
      <c r="C313" s="118">
        <f>1830235.41/7.5345</f>
        <v>242913.98367509455</v>
      </c>
      <c r="D313" s="118"/>
      <c r="E313" s="118"/>
      <c r="F313" s="118">
        <v>194203.63</v>
      </c>
      <c r="G313" s="52">
        <f t="shared" si="31"/>
        <v>79.94748884434489</v>
      </c>
      <c r="H313" s="52" t="e">
        <f t="shared" si="32"/>
        <v>#DIV/0!</v>
      </c>
    </row>
    <row r="314" spans="1:8" ht="18" customHeight="1">
      <c r="A314" s="24" t="s">
        <v>504</v>
      </c>
      <c r="B314" s="25" t="s">
        <v>32</v>
      </c>
      <c r="C314" s="117">
        <f>SUM(C315:C321)</f>
        <v>45912.30340434003</v>
      </c>
      <c r="D314" s="117">
        <v>0</v>
      </c>
      <c r="E314" s="117">
        <v>0</v>
      </c>
      <c r="F314" s="117">
        <f>SUM(F315:F321)</f>
        <v>21057.17</v>
      </c>
      <c r="G314" s="52">
        <f t="shared" si="31"/>
        <v>45.863893637733476</v>
      </c>
      <c r="H314" s="52" t="e">
        <f t="shared" si="32"/>
        <v>#DIV/0!</v>
      </c>
    </row>
    <row r="315" spans="1:8" ht="14.25" customHeight="1">
      <c r="A315" s="18" t="s">
        <v>505</v>
      </c>
      <c r="B315" s="19" t="s">
        <v>239</v>
      </c>
      <c r="C315" s="118">
        <f>66528.83/7.5345</f>
        <v>8829.893158139226</v>
      </c>
      <c r="D315" s="118"/>
      <c r="E315" s="118"/>
      <c r="F315" s="118">
        <f>12936.48+235+2000</f>
        <v>15171.48</v>
      </c>
      <c r="G315" s="52">
        <f t="shared" si="31"/>
        <v>171.81951953762</v>
      </c>
      <c r="H315" s="52" t="e">
        <f t="shared" si="32"/>
        <v>#DIV/0!</v>
      </c>
    </row>
    <row r="316" spans="1:8" ht="14.25" customHeight="1">
      <c r="A316" s="18" t="s">
        <v>506</v>
      </c>
      <c r="B316" s="19" t="s">
        <v>30</v>
      </c>
      <c r="C316" s="118">
        <v>0</v>
      </c>
      <c r="D316" s="118"/>
      <c r="E316" s="118"/>
      <c r="F316" s="118">
        <v>0</v>
      </c>
      <c r="G316" s="52" t="e">
        <f t="shared" si="31"/>
        <v>#DIV/0!</v>
      </c>
      <c r="H316" s="52" t="e">
        <f t="shared" si="32"/>
        <v>#DIV/0!</v>
      </c>
    </row>
    <row r="317" spans="1:8" ht="14.25" customHeight="1">
      <c r="A317" s="18" t="s">
        <v>507</v>
      </c>
      <c r="B317" s="19" t="s">
        <v>31</v>
      </c>
      <c r="C317" s="118">
        <v>0</v>
      </c>
      <c r="D317" s="118"/>
      <c r="E317" s="118"/>
      <c r="F317" s="118">
        <f>587.6+351.24</f>
        <v>938.84</v>
      </c>
      <c r="G317" s="52" t="e">
        <f t="shared" si="31"/>
        <v>#DIV/0!</v>
      </c>
      <c r="H317" s="52" t="e">
        <f t="shared" si="32"/>
        <v>#DIV/0!</v>
      </c>
    </row>
    <row r="318" spans="1:8" ht="14.25" customHeight="1">
      <c r="A318" s="18" t="s">
        <v>1167</v>
      </c>
      <c r="B318" s="19" t="s">
        <v>1168</v>
      </c>
      <c r="C318" s="118">
        <v>0</v>
      </c>
      <c r="D318" s="118"/>
      <c r="E318" s="118"/>
      <c r="F318" s="118">
        <v>0</v>
      </c>
      <c r="G318" s="52" t="e">
        <f>F318/C318*100</f>
        <v>#DIV/0!</v>
      </c>
      <c r="H318" s="52" t="e">
        <f>F318/E318*100</f>
        <v>#DIV/0!</v>
      </c>
    </row>
    <row r="319" spans="1:8" ht="14.25" customHeight="1">
      <c r="A319" s="18" t="s">
        <v>593</v>
      </c>
      <c r="B319" s="19" t="s">
        <v>594</v>
      </c>
      <c r="C319" s="118">
        <v>0</v>
      </c>
      <c r="D319" s="118"/>
      <c r="E319" s="118"/>
      <c r="F319" s="118">
        <v>0</v>
      </c>
      <c r="G319" s="52" t="e">
        <f t="shared" si="31"/>
        <v>#DIV/0!</v>
      </c>
      <c r="H319" s="52" t="e">
        <f>F319/E319*100</f>
        <v>#DIV/0!</v>
      </c>
    </row>
    <row r="320" spans="1:8" ht="14.25" customHeight="1">
      <c r="A320" s="18" t="s">
        <v>1015</v>
      </c>
      <c r="B320" s="19" t="s">
        <v>1016</v>
      </c>
      <c r="C320" s="118">
        <v>0</v>
      </c>
      <c r="D320" s="118"/>
      <c r="E320" s="118"/>
      <c r="F320" s="118">
        <v>0</v>
      </c>
      <c r="G320" s="52" t="e">
        <f>F320/C320*100</f>
        <v>#DIV/0!</v>
      </c>
      <c r="H320" s="52" t="e">
        <f>F320/E320*100</f>
        <v>#DIV/0!</v>
      </c>
    </row>
    <row r="321" spans="1:8" ht="14.25" customHeight="1">
      <c r="A321" s="18" t="s">
        <v>508</v>
      </c>
      <c r="B321" s="19" t="s">
        <v>295</v>
      </c>
      <c r="C321" s="118">
        <f>279397.42/7.5345</f>
        <v>37082.41024620081</v>
      </c>
      <c r="D321" s="118"/>
      <c r="E321" s="118"/>
      <c r="F321" s="118">
        <f>3030.33+1916.52</f>
        <v>4946.85</v>
      </c>
      <c r="G321" s="52">
        <f t="shared" si="31"/>
        <v>13.3401522909553</v>
      </c>
      <c r="H321" s="52" t="e">
        <f t="shared" si="32"/>
        <v>#DIV/0!</v>
      </c>
    </row>
    <row r="322" spans="1:8" ht="18" customHeight="1">
      <c r="A322" s="24" t="s">
        <v>1019</v>
      </c>
      <c r="B322" s="25" t="s">
        <v>1020</v>
      </c>
      <c r="C322" s="117">
        <f>SUM(C323)</f>
        <v>0</v>
      </c>
      <c r="D322" s="117">
        <v>0</v>
      </c>
      <c r="E322" s="117">
        <v>0</v>
      </c>
      <c r="F322" s="117">
        <f>SUM(F323)</f>
        <v>0</v>
      </c>
      <c r="G322" s="52" t="e">
        <f>F322/C322*100</f>
        <v>#DIV/0!</v>
      </c>
      <c r="H322" s="52" t="e">
        <f>F322/E322*100</f>
        <v>#DIV/0!</v>
      </c>
    </row>
    <row r="323" spans="1:8" ht="14.25" customHeight="1">
      <c r="A323" s="18" t="s">
        <v>1021</v>
      </c>
      <c r="B323" s="19" t="s">
        <v>1022</v>
      </c>
      <c r="C323" s="118">
        <v>0</v>
      </c>
      <c r="D323" s="118"/>
      <c r="E323" s="118"/>
      <c r="F323" s="118">
        <v>0</v>
      </c>
      <c r="G323" s="52" t="e">
        <f>F323/C323*100</f>
        <v>#DIV/0!</v>
      </c>
      <c r="H323" s="52" t="e">
        <f>F323/E323*100</f>
        <v>#DIV/0!</v>
      </c>
    </row>
    <row r="324" spans="1:8" ht="18" customHeight="1">
      <c r="A324" s="24" t="s">
        <v>509</v>
      </c>
      <c r="B324" s="25" t="s">
        <v>33</v>
      </c>
      <c r="C324" s="117">
        <f>SUM(C325:C326)</f>
        <v>7825.245205388545</v>
      </c>
      <c r="D324" s="117">
        <v>0</v>
      </c>
      <c r="E324" s="117">
        <v>0</v>
      </c>
      <c r="F324" s="117">
        <f>SUM(F325:F326)</f>
        <v>4807.72</v>
      </c>
      <c r="G324" s="52">
        <f t="shared" si="31"/>
        <v>61.43858593324787</v>
      </c>
      <c r="H324" s="52" t="e">
        <f t="shared" si="32"/>
        <v>#DIV/0!</v>
      </c>
    </row>
    <row r="325" spans="1:8" ht="14.25" customHeight="1">
      <c r="A325" s="18" t="s">
        <v>510</v>
      </c>
      <c r="B325" s="19" t="s">
        <v>240</v>
      </c>
      <c r="C325" s="118">
        <f>58959.31/7.5345</f>
        <v>7825.245205388545</v>
      </c>
      <c r="D325" s="118"/>
      <c r="E325" s="118"/>
      <c r="F325" s="118">
        <v>4807.72</v>
      </c>
      <c r="G325" s="52">
        <f t="shared" si="31"/>
        <v>61.43858593324787</v>
      </c>
      <c r="H325" s="52" t="e">
        <f t="shared" si="32"/>
        <v>#DIV/0!</v>
      </c>
    </row>
    <row r="326" spans="1:8" ht="14.25" customHeight="1">
      <c r="A326" s="18" t="s">
        <v>1023</v>
      </c>
      <c r="B326" s="19" t="s">
        <v>1017</v>
      </c>
      <c r="C326" s="118">
        <v>0</v>
      </c>
      <c r="D326" s="118">
        <v>0</v>
      </c>
      <c r="E326" s="118">
        <v>0</v>
      </c>
      <c r="F326" s="118">
        <v>0</v>
      </c>
      <c r="G326" s="52" t="e">
        <f>F326/C326*100</f>
        <v>#DIV/0!</v>
      </c>
      <c r="H326" s="52" t="e">
        <f>F326/E326*100</f>
        <v>#DIV/0!</v>
      </c>
    </row>
    <row r="327" spans="1:8" ht="18" customHeight="1">
      <c r="A327" s="24" t="s">
        <v>511</v>
      </c>
      <c r="B327" s="25" t="s">
        <v>34</v>
      </c>
      <c r="C327" s="117">
        <f>SUM(C328:C329)</f>
        <v>7835.12509124693</v>
      </c>
      <c r="D327" s="117">
        <v>0</v>
      </c>
      <c r="E327" s="117">
        <v>0</v>
      </c>
      <c r="F327" s="117">
        <f>SUM(F328:F329)</f>
        <v>6569.79</v>
      </c>
      <c r="G327" s="52">
        <f t="shared" si="31"/>
        <v>83.85048003049104</v>
      </c>
      <c r="H327" s="52" t="e">
        <f t="shared" si="32"/>
        <v>#DIV/0!</v>
      </c>
    </row>
    <row r="328" spans="1:8" ht="14.25" customHeight="1">
      <c r="A328" s="18" t="s">
        <v>512</v>
      </c>
      <c r="B328" s="19" t="s">
        <v>241</v>
      </c>
      <c r="C328" s="118">
        <f>7033.75/7.5345</f>
        <v>933.539053686376</v>
      </c>
      <c r="D328" s="118"/>
      <c r="E328" s="118"/>
      <c r="F328" s="118">
        <v>0</v>
      </c>
      <c r="G328" s="52">
        <f t="shared" si="31"/>
        <v>0</v>
      </c>
      <c r="H328" s="52" t="e">
        <f t="shared" si="32"/>
        <v>#DIV/0!</v>
      </c>
    </row>
    <row r="329" spans="1:8" ht="14.25" customHeight="1">
      <c r="A329" s="18" t="s">
        <v>513</v>
      </c>
      <c r="B329" s="19" t="s">
        <v>319</v>
      </c>
      <c r="C329" s="118">
        <f>52000/7.5345</f>
        <v>6901.586037560554</v>
      </c>
      <c r="D329" s="118"/>
      <c r="E329" s="118"/>
      <c r="F329" s="118">
        <v>6569.79</v>
      </c>
      <c r="G329" s="52">
        <f t="shared" si="31"/>
        <v>95.19246683653847</v>
      </c>
      <c r="H329" s="52" t="e">
        <f t="shared" si="32"/>
        <v>#DIV/0!</v>
      </c>
    </row>
    <row r="330" spans="1:8" ht="21" customHeight="1">
      <c r="A330" s="24" t="s">
        <v>750</v>
      </c>
      <c r="B330" s="25" t="s">
        <v>751</v>
      </c>
      <c r="C330" s="117">
        <f aca="true" t="shared" si="33" ref="C330:F331">C331</f>
        <v>0</v>
      </c>
      <c r="D330" s="117">
        <f t="shared" si="33"/>
        <v>0</v>
      </c>
      <c r="E330" s="117">
        <f t="shared" si="33"/>
        <v>0</v>
      </c>
      <c r="F330" s="117">
        <f t="shared" si="33"/>
        <v>0</v>
      </c>
      <c r="G330" s="52" t="e">
        <f>F330/C330*100</f>
        <v>#DIV/0!</v>
      </c>
      <c r="H330" s="52" t="e">
        <f>F330/E330*100</f>
        <v>#DIV/0!</v>
      </c>
    </row>
    <row r="331" spans="1:8" ht="18" customHeight="1">
      <c r="A331" s="115" t="s">
        <v>1018</v>
      </c>
      <c r="B331" s="25" t="s">
        <v>751</v>
      </c>
      <c r="C331" s="117">
        <f t="shared" si="33"/>
        <v>0</v>
      </c>
      <c r="D331" s="117">
        <f t="shared" si="33"/>
        <v>0</v>
      </c>
      <c r="E331" s="117">
        <f t="shared" si="33"/>
        <v>0</v>
      </c>
      <c r="F331" s="117">
        <f t="shared" si="33"/>
        <v>0</v>
      </c>
      <c r="G331" s="52" t="e">
        <f>F331/C331*100</f>
        <v>#DIV/0!</v>
      </c>
      <c r="H331" s="52" t="e">
        <f>F331/E331*100</f>
        <v>#DIV/0!</v>
      </c>
    </row>
    <row r="332" spans="1:8" ht="14.25" customHeight="1">
      <c r="A332" s="18" t="s">
        <v>752</v>
      </c>
      <c r="B332" s="19" t="s">
        <v>753</v>
      </c>
      <c r="C332" s="118">
        <v>0</v>
      </c>
      <c r="D332" s="118">
        <v>0</v>
      </c>
      <c r="E332" s="118">
        <v>0</v>
      </c>
      <c r="F332" s="118">
        <v>0</v>
      </c>
      <c r="G332" s="52" t="e">
        <f>F332/C332*100</f>
        <v>#DIV/0!</v>
      </c>
      <c r="H332" s="52" t="e">
        <f>F332/E332*100</f>
        <v>#DIV/0!</v>
      </c>
    </row>
    <row r="333" spans="1:8" ht="21" customHeight="1">
      <c r="A333" s="24" t="s">
        <v>514</v>
      </c>
      <c r="B333" s="25" t="s">
        <v>520</v>
      </c>
      <c r="C333" s="117">
        <f>C336</f>
        <v>130394.6751609264</v>
      </c>
      <c r="D333" s="117">
        <v>213000</v>
      </c>
      <c r="E333" s="117">
        <v>213000</v>
      </c>
      <c r="F333" s="117">
        <f>F336</f>
        <v>2750</v>
      </c>
      <c r="G333" s="52">
        <f t="shared" si="31"/>
        <v>2.1089818250676964</v>
      </c>
      <c r="H333" s="52">
        <f t="shared" si="32"/>
        <v>1.2910798122065728</v>
      </c>
    </row>
    <row r="334" spans="1:8" ht="27" customHeight="1">
      <c r="A334" s="90" t="s">
        <v>790</v>
      </c>
      <c r="B334" s="90" t="s">
        <v>883</v>
      </c>
      <c r="C334" s="149" t="s">
        <v>1386</v>
      </c>
      <c r="D334" s="166" t="s">
        <v>1387</v>
      </c>
      <c r="E334" s="166" t="s">
        <v>1388</v>
      </c>
      <c r="F334" s="46" t="s">
        <v>1389</v>
      </c>
      <c r="G334" s="53" t="s">
        <v>793</v>
      </c>
      <c r="H334" s="53" t="s">
        <v>794</v>
      </c>
    </row>
    <row r="335" spans="1:8" ht="9.75" customHeight="1">
      <c r="A335" s="94">
        <v>1</v>
      </c>
      <c r="B335" s="94">
        <v>2</v>
      </c>
      <c r="C335" s="150">
        <v>3</v>
      </c>
      <c r="D335" s="150">
        <v>4</v>
      </c>
      <c r="E335" s="150">
        <v>5</v>
      </c>
      <c r="F335" s="53">
        <v>6</v>
      </c>
      <c r="G335" s="53">
        <v>7</v>
      </c>
      <c r="H335" s="53">
        <v>8</v>
      </c>
    </row>
    <row r="336" spans="1:8" ht="18" customHeight="1">
      <c r="A336" s="24" t="s">
        <v>515</v>
      </c>
      <c r="B336" s="25" t="s">
        <v>519</v>
      </c>
      <c r="C336" s="117">
        <f>C337</f>
        <v>130394.6751609264</v>
      </c>
      <c r="D336" s="117">
        <v>0</v>
      </c>
      <c r="E336" s="117">
        <v>0</v>
      </c>
      <c r="F336" s="117">
        <f>F337</f>
        <v>2750</v>
      </c>
      <c r="G336" s="52">
        <f t="shared" si="31"/>
        <v>2.1089818250676964</v>
      </c>
      <c r="H336" s="52" t="e">
        <f t="shared" si="32"/>
        <v>#DIV/0!</v>
      </c>
    </row>
    <row r="337" spans="1:8" ht="14.25" customHeight="1">
      <c r="A337" s="18" t="s">
        <v>516</v>
      </c>
      <c r="B337" s="19" t="s">
        <v>153</v>
      </c>
      <c r="C337" s="118">
        <f>982458.68/7.5345</f>
        <v>130394.6751609264</v>
      </c>
      <c r="D337" s="118"/>
      <c r="E337" s="118"/>
      <c r="F337" s="118">
        <v>2750</v>
      </c>
      <c r="G337" s="52">
        <f t="shared" si="31"/>
        <v>2.1089818250676964</v>
      </c>
      <c r="H337" s="52" t="e">
        <f t="shared" si="32"/>
        <v>#DIV/0!</v>
      </c>
    </row>
    <row r="338" spans="1:8" ht="24" customHeight="1">
      <c r="A338" s="31"/>
      <c r="B338" s="27" t="s">
        <v>1150</v>
      </c>
      <c r="C338" s="116">
        <f>C221+C302</f>
        <v>2267280.1659035105</v>
      </c>
      <c r="D338" s="116">
        <f>D221+D302</f>
        <v>10988335</v>
      </c>
      <c r="E338" s="116">
        <f>E221+E302</f>
        <v>10988335</v>
      </c>
      <c r="F338" s="116">
        <f>F221+F302</f>
        <v>2647899.92</v>
      </c>
      <c r="G338" s="54">
        <f aca="true" t="shared" si="34" ref="G338:G348">F338/C338*100</f>
        <v>116.7875042449733</v>
      </c>
      <c r="H338" s="54">
        <f aca="true" t="shared" si="35" ref="H338:H348">F338/E338*100</f>
        <v>24.097371621815316</v>
      </c>
    </row>
    <row r="339" spans="1:8" ht="24.75" customHeight="1">
      <c r="A339" s="26" t="s">
        <v>517</v>
      </c>
      <c r="B339" s="153" t="s">
        <v>1306</v>
      </c>
      <c r="C339" s="116">
        <f>C340+C343</f>
        <v>0</v>
      </c>
      <c r="D339" s="116">
        <f>D340+D343</f>
        <v>689545</v>
      </c>
      <c r="E339" s="116">
        <f>E340+E343+E367+E370</f>
        <v>689545</v>
      </c>
      <c r="F339" s="116">
        <f>F340+F343</f>
        <v>18899.4</v>
      </c>
      <c r="G339" s="54" t="e">
        <f t="shared" si="34"/>
        <v>#DIV/0!</v>
      </c>
      <c r="H339" s="54">
        <f t="shared" si="35"/>
        <v>2.7408508509234353</v>
      </c>
    </row>
    <row r="340" spans="1:8" ht="21" customHeight="1">
      <c r="A340" s="24" t="s">
        <v>1307</v>
      </c>
      <c r="B340" s="25" t="s">
        <v>555</v>
      </c>
      <c r="C340" s="117">
        <f>C341</f>
        <v>0</v>
      </c>
      <c r="D340" s="117">
        <f>D341</f>
        <v>0</v>
      </c>
      <c r="E340" s="117">
        <f>E341</f>
        <v>0</v>
      </c>
      <c r="F340" s="117">
        <f>F341</f>
        <v>0</v>
      </c>
      <c r="G340" s="52" t="e">
        <f t="shared" si="34"/>
        <v>#DIV/0!</v>
      </c>
      <c r="H340" s="52" t="e">
        <f t="shared" si="35"/>
        <v>#DIV/0!</v>
      </c>
    </row>
    <row r="341" spans="1:8" ht="18" customHeight="1">
      <c r="A341" s="24" t="s">
        <v>1308</v>
      </c>
      <c r="B341" s="25" t="s">
        <v>1309</v>
      </c>
      <c r="C341" s="117">
        <f>SUM(C342)</f>
        <v>0</v>
      </c>
      <c r="D341" s="117">
        <f>D342</f>
        <v>0</v>
      </c>
      <c r="E341" s="117">
        <f>E342</f>
        <v>0</v>
      </c>
      <c r="F341" s="117">
        <f>SUM(F342)</f>
        <v>0</v>
      </c>
      <c r="G341" s="52" t="e">
        <f t="shared" si="34"/>
        <v>#DIV/0!</v>
      </c>
      <c r="H341" s="52" t="e">
        <f t="shared" si="35"/>
        <v>#DIV/0!</v>
      </c>
    </row>
    <row r="342" spans="1:8" ht="15" customHeight="1">
      <c r="A342" s="18" t="s">
        <v>1310</v>
      </c>
      <c r="B342" s="19" t="s">
        <v>1311</v>
      </c>
      <c r="C342" s="118">
        <v>0</v>
      </c>
      <c r="D342" s="118"/>
      <c r="E342" s="118"/>
      <c r="F342" s="118">
        <v>0</v>
      </c>
      <c r="G342" s="52" t="e">
        <f t="shared" si="34"/>
        <v>#DIV/0!</v>
      </c>
      <c r="H342" s="52" t="e">
        <f t="shared" si="35"/>
        <v>#DIV/0!</v>
      </c>
    </row>
    <row r="343" spans="1:8" ht="21" customHeight="1">
      <c r="A343" s="24" t="s">
        <v>1178</v>
      </c>
      <c r="B343" s="154" t="s">
        <v>1312</v>
      </c>
      <c r="C343" s="117">
        <f>C344+C346</f>
        <v>0</v>
      </c>
      <c r="D343" s="117">
        <v>689545</v>
      </c>
      <c r="E343" s="117">
        <v>689545</v>
      </c>
      <c r="F343" s="117">
        <f>F344+F346</f>
        <v>18899.4</v>
      </c>
      <c r="G343" s="52" t="e">
        <f t="shared" si="34"/>
        <v>#DIV/0!</v>
      </c>
      <c r="H343" s="52">
        <f t="shared" si="35"/>
        <v>2.7408508509234353</v>
      </c>
    </row>
    <row r="344" spans="1:8" ht="33" customHeight="1">
      <c r="A344" s="24" t="s">
        <v>1179</v>
      </c>
      <c r="B344" s="138" t="s">
        <v>1313</v>
      </c>
      <c r="C344" s="117">
        <f>SUM(C345)</f>
        <v>0</v>
      </c>
      <c r="D344" s="117">
        <v>0</v>
      </c>
      <c r="E344" s="117">
        <v>0</v>
      </c>
      <c r="F344" s="117">
        <f>F345</f>
        <v>18899.4</v>
      </c>
      <c r="G344" s="52" t="e">
        <f t="shared" si="34"/>
        <v>#DIV/0!</v>
      </c>
      <c r="H344" s="52" t="e">
        <f t="shared" si="35"/>
        <v>#DIV/0!</v>
      </c>
    </row>
    <row r="345" spans="1:8" ht="23.25" customHeight="1">
      <c r="A345" s="18" t="s">
        <v>1180</v>
      </c>
      <c r="B345" s="155" t="s">
        <v>1314</v>
      </c>
      <c r="C345" s="118">
        <v>0</v>
      </c>
      <c r="D345" s="118"/>
      <c r="E345" s="118"/>
      <c r="F345" s="118">
        <v>18899.4</v>
      </c>
      <c r="G345" s="52" t="e">
        <f t="shared" si="34"/>
        <v>#DIV/0!</v>
      </c>
      <c r="H345" s="52" t="e">
        <f t="shared" si="35"/>
        <v>#DIV/0!</v>
      </c>
    </row>
    <row r="346" spans="1:8" ht="33" customHeight="1">
      <c r="A346" s="24" t="s">
        <v>1315</v>
      </c>
      <c r="B346" s="138" t="s">
        <v>1316</v>
      </c>
      <c r="C346" s="117">
        <f>C347</f>
        <v>0</v>
      </c>
      <c r="D346" s="117">
        <v>0</v>
      </c>
      <c r="E346" s="117">
        <v>0</v>
      </c>
      <c r="F346" s="117">
        <f>F347</f>
        <v>0</v>
      </c>
      <c r="G346" s="52" t="e">
        <f t="shared" si="34"/>
        <v>#DIV/0!</v>
      </c>
      <c r="H346" s="52" t="e">
        <f t="shared" si="35"/>
        <v>#DIV/0!</v>
      </c>
    </row>
    <row r="347" spans="1:8" ht="23.25" customHeight="1">
      <c r="A347" s="18" t="s">
        <v>1317</v>
      </c>
      <c r="B347" s="155" t="s">
        <v>1318</v>
      </c>
      <c r="C347" s="118">
        <v>0</v>
      </c>
      <c r="D347" s="118">
        <v>0</v>
      </c>
      <c r="E347" s="118">
        <v>0</v>
      </c>
      <c r="F347" s="118">
        <v>0</v>
      </c>
      <c r="G347" s="52" t="e">
        <f t="shared" si="34"/>
        <v>#DIV/0!</v>
      </c>
      <c r="H347" s="52" t="e">
        <f t="shared" si="35"/>
        <v>#DIV/0!</v>
      </c>
    </row>
    <row r="348" spans="1:8" ht="24" customHeight="1">
      <c r="A348" s="31"/>
      <c r="B348" s="27" t="s">
        <v>1319</v>
      </c>
      <c r="C348" s="116">
        <f>C338+C339</f>
        <v>2267280.1659035105</v>
      </c>
      <c r="D348" s="116">
        <f>D338+D339</f>
        <v>11677880</v>
      </c>
      <c r="E348" s="116">
        <f>E338+E339</f>
        <v>11677880</v>
      </c>
      <c r="F348" s="116">
        <f>F338+F339</f>
        <v>2666799.32</v>
      </c>
      <c r="G348" s="54">
        <f t="shared" si="34"/>
        <v>117.62107568815965</v>
      </c>
      <c r="H348" s="54">
        <f t="shared" si="35"/>
        <v>22.836330909377388</v>
      </c>
    </row>
    <row r="349" ht="25.5" customHeight="1"/>
  </sheetData>
  <sheetProtection/>
  <mergeCells count="30">
    <mergeCell ref="A20:B20"/>
    <mergeCell ref="A21:B21"/>
    <mergeCell ref="A31:B31"/>
    <mergeCell ref="A16:B16"/>
    <mergeCell ref="A17:B17"/>
    <mergeCell ref="A27:B27"/>
    <mergeCell ref="G218:H218"/>
    <mergeCell ref="A32:B32"/>
    <mergeCell ref="A36:B36"/>
    <mergeCell ref="A37:B37"/>
    <mergeCell ref="A38:B38"/>
    <mergeCell ref="A7:E7"/>
    <mergeCell ref="A23:H23"/>
    <mergeCell ref="A25:H25"/>
    <mergeCell ref="A22:B22"/>
    <mergeCell ref="A24:B24"/>
    <mergeCell ref="F1:H1"/>
    <mergeCell ref="G13:H13"/>
    <mergeCell ref="A14:B14"/>
    <mergeCell ref="A5:H5"/>
    <mergeCell ref="A6:H6"/>
    <mergeCell ref="A19:H19"/>
    <mergeCell ref="A15:B15"/>
    <mergeCell ref="A18:B18"/>
    <mergeCell ref="A39:B39"/>
    <mergeCell ref="A33:B33"/>
    <mergeCell ref="G42:H42"/>
    <mergeCell ref="A35:B35"/>
    <mergeCell ref="A26:H26"/>
    <mergeCell ref="A28:B28"/>
  </mergeCells>
  <printOptions/>
  <pageMargins left="0.7480314960629921" right="0.3937007874015748" top="0.7480314960629921" bottom="0.5905511811023623" header="0.5118110236220472" footer="0.31496062992125984"/>
  <pageSetup fitToHeight="0" fitToWidth="1" horizontalDpi="180" verticalDpi="180" orientation="portrait" paperSize="9" scale="93" r:id="rId1"/>
  <headerFooter alignWithMargins="0">
    <oddFooter>&amp;C&amp;"Arial,Kurziv"&amp;7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="140" zoomScaleNormal="140" workbookViewId="0" topLeftCell="A1">
      <selection activeCell="F54" sqref="F54"/>
    </sheetView>
  </sheetViews>
  <sheetFormatPr defaultColWidth="9.140625" defaultRowHeight="12.75"/>
  <cols>
    <col min="1" max="1" width="8.00390625" style="2" customWidth="1"/>
    <col min="2" max="2" width="34.7109375" style="2" customWidth="1"/>
    <col min="3" max="3" width="10.00390625" style="145" customWidth="1"/>
    <col min="4" max="4" width="13.00390625" style="170" customWidth="1"/>
    <col min="5" max="5" width="13.421875" style="170" customWidth="1"/>
    <col min="6" max="6" width="12.28125" style="2" customWidth="1"/>
    <col min="7" max="7" width="5.57421875" style="48" customWidth="1"/>
    <col min="8" max="8" width="6.421875" style="48" customWidth="1"/>
    <col min="9" max="16384" width="9.140625" style="2" customWidth="1"/>
  </cols>
  <sheetData>
    <row r="1" spans="1:2" ht="51.75" customHeight="1">
      <c r="A1" s="99" t="s">
        <v>891</v>
      </c>
      <c r="B1" s="12"/>
    </row>
    <row r="2" spans="3:8" ht="22.5" customHeight="1">
      <c r="C2" s="148"/>
      <c r="F2" s="8"/>
      <c r="G2" s="177"/>
      <c r="H2" s="177"/>
    </row>
    <row r="3" spans="1:8" ht="30" customHeight="1">
      <c r="A3" s="90" t="s">
        <v>795</v>
      </c>
      <c r="B3" s="90" t="s">
        <v>796</v>
      </c>
      <c r="C3" s="149" t="s">
        <v>1353</v>
      </c>
      <c r="D3" s="171" t="s">
        <v>1387</v>
      </c>
      <c r="E3" s="171" t="s">
        <v>1388</v>
      </c>
      <c r="F3" s="46" t="s">
        <v>1402</v>
      </c>
      <c r="G3" s="53" t="s">
        <v>793</v>
      </c>
      <c r="H3" s="53" t="s">
        <v>794</v>
      </c>
    </row>
    <row r="4" spans="1:8" s="48" customFormat="1" ht="9.75" customHeight="1">
      <c r="A4" s="94">
        <v>1</v>
      </c>
      <c r="B4" s="94">
        <v>2</v>
      </c>
      <c r="C4" s="150">
        <v>3</v>
      </c>
      <c r="D4" s="172">
        <v>4</v>
      </c>
      <c r="E4" s="172">
        <v>5</v>
      </c>
      <c r="F4" s="53">
        <v>6</v>
      </c>
      <c r="G4" s="53">
        <v>7</v>
      </c>
      <c r="H4" s="53">
        <v>8</v>
      </c>
    </row>
    <row r="5" spans="1:8" ht="18" customHeight="1">
      <c r="A5" s="95" t="s">
        <v>797</v>
      </c>
      <c r="B5" s="96" t="s">
        <v>798</v>
      </c>
      <c r="C5" s="118">
        <f>11560454.17/7.5345</f>
        <v>1534335.9439909747</v>
      </c>
      <c r="D5" s="167">
        <v>4659230</v>
      </c>
      <c r="E5" s="167">
        <v>4659230</v>
      </c>
      <c r="F5" s="118">
        <v>1910419.25</v>
      </c>
      <c r="G5" s="52">
        <f>F5/C5*100</f>
        <v>124.51114486901686</v>
      </c>
      <c r="H5" s="52">
        <f aca="true" t="shared" si="0" ref="H5:H27">F5/E5*100</f>
        <v>41.002896401336706</v>
      </c>
    </row>
    <row r="6" spans="1:8" ht="18" customHeight="1">
      <c r="A6" s="95" t="s">
        <v>1194</v>
      </c>
      <c r="B6" s="96" t="s">
        <v>799</v>
      </c>
      <c r="C6" s="118">
        <f>C7+C8+C9</f>
        <v>251270.4439577941</v>
      </c>
      <c r="D6" s="167">
        <f>D7+D8+D9</f>
        <v>1143723</v>
      </c>
      <c r="E6" s="167">
        <f>E7+E8+E9</f>
        <v>1143723</v>
      </c>
      <c r="F6" s="118">
        <f>F7+F8+F9</f>
        <v>344418.43000000005</v>
      </c>
      <c r="G6" s="52">
        <f>F6/C6*100</f>
        <v>137.0708088762927</v>
      </c>
      <c r="H6" s="52">
        <f t="shared" si="0"/>
        <v>30.11379765904857</v>
      </c>
    </row>
    <row r="7" spans="1:8" ht="18" customHeight="1">
      <c r="A7" s="95" t="s">
        <v>800</v>
      </c>
      <c r="B7" s="96" t="s">
        <v>1201</v>
      </c>
      <c r="C7" s="118">
        <f>1885072.72/7.5345</f>
        <v>250192.145464198</v>
      </c>
      <c r="D7" s="167">
        <v>1139500</v>
      </c>
      <c r="E7" s="167">
        <v>1139500</v>
      </c>
      <c r="F7" s="118">
        <v>342561.71</v>
      </c>
      <c r="G7" s="52"/>
      <c r="H7" s="52">
        <f>F7/E7*100</f>
        <v>30.06245809565599</v>
      </c>
    </row>
    <row r="8" spans="1:8" ht="18" customHeight="1">
      <c r="A8" s="95" t="s">
        <v>133</v>
      </c>
      <c r="B8" s="96" t="s">
        <v>1198</v>
      </c>
      <c r="C8" s="118">
        <f>0.58/7.5345</f>
        <v>0.0769792288804831</v>
      </c>
      <c r="D8" s="167">
        <v>1070</v>
      </c>
      <c r="E8" s="167">
        <v>1070</v>
      </c>
      <c r="F8" s="118">
        <v>0.2</v>
      </c>
      <c r="G8" s="52"/>
      <c r="H8" s="52">
        <f t="shared" si="0"/>
        <v>0.01869158878504673</v>
      </c>
    </row>
    <row r="9" spans="1:8" ht="18" customHeight="1">
      <c r="A9" s="95" t="s">
        <v>1209</v>
      </c>
      <c r="B9" s="96" t="s">
        <v>1199</v>
      </c>
      <c r="C9" s="118">
        <f>8123.86/7.5345</f>
        <v>1078.2215143672438</v>
      </c>
      <c r="D9" s="167">
        <v>3153</v>
      </c>
      <c r="E9" s="167">
        <v>3153</v>
      </c>
      <c r="F9" s="118">
        <v>1856.52</v>
      </c>
      <c r="G9" s="52"/>
      <c r="H9" s="52">
        <f t="shared" si="0"/>
        <v>58.881065651760224</v>
      </c>
    </row>
    <row r="10" spans="1:8" ht="18" customHeight="1">
      <c r="A10" s="95" t="s">
        <v>1195</v>
      </c>
      <c r="B10" s="96" t="s">
        <v>801</v>
      </c>
      <c r="C10" s="118">
        <f>C11+C12</f>
        <v>456524.65724334726</v>
      </c>
      <c r="D10" s="167">
        <f>D11+D12</f>
        <v>1292694</v>
      </c>
      <c r="E10" s="167">
        <f>E11+E12</f>
        <v>1292694</v>
      </c>
      <c r="F10" s="118">
        <f>F11+F12</f>
        <v>544340.89</v>
      </c>
      <c r="G10" s="52">
        <f>F10/C10*100</f>
        <v>119.23581374266121</v>
      </c>
      <c r="H10" s="52">
        <f t="shared" si="0"/>
        <v>42.10902889624304</v>
      </c>
    </row>
    <row r="11" spans="1:8" ht="18" customHeight="1">
      <c r="A11" s="95" t="s">
        <v>1210</v>
      </c>
      <c r="B11" s="96" t="s">
        <v>1200</v>
      </c>
      <c r="C11" s="118">
        <f>3019478.03/7.5345</f>
        <v>400753.6040878625</v>
      </c>
      <c r="D11" s="167">
        <v>1164664</v>
      </c>
      <c r="E11" s="167">
        <v>1164664</v>
      </c>
      <c r="F11" s="118">
        <v>485046.57</v>
      </c>
      <c r="G11" s="52"/>
      <c r="H11" s="52">
        <f t="shared" si="0"/>
        <v>41.64691018182068</v>
      </c>
    </row>
    <row r="12" spans="1:8" ht="18" customHeight="1">
      <c r="A12" s="95" t="s">
        <v>1211</v>
      </c>
      <c r="B12" s="96" t="s">
        <v>1202</v>
      </c>
      <c r="C12" s="118">
        <f>420207/7.5345</f>
        <v>55771.05315548477</v>
      </c>
      <c r="D12" s="167">
        <v>128030</v>
      </c>
      <c r="E12" s="167">
        <v>128030</v>
      </c>
      <c r="F12" s="118">
        <v>59294.32</v>
      </c>
      <c r="G12" s="52"/>
      <c r="H12" s="52">
        <f t="shared" si="0"/>
        <v>46.31283292978208</v>
      </c>
    </row>
    <row r="13" spans="1:8" ht="18" customHeight="1">
      <c r="A13" s="95" t="s">
        <v>1196</v>
      </c>
      <c r="B13" s="96" t="s">
        <v>802</v>
      </c>
      <c r="C13" s="118">
        <f>C14+C15+C16</f>
        <v>66184.33207246664</v>
      </c>
      <c r="D13" s="167">
        <f>D14+D15+D16</f>
        <v>1067509</v>
      </c>
      <c r="E13" s="167">
        <f>E14+E15+E16</f>
        <v>1067509</v>
      </c>
      <c r="F13" s="118">
        <f>F14+F15+F16</f>
        <v>72203.81999999999</v>
      </c>
      <c r="G13" s="52">
        <f>F13/C13*100</f>
        <v>109.09503463892707</v>
      </c>
      <c r="H13" s="52">
        <f t="shared" si="0"/>
        <v>6.763766862855489</v>
      </c>
    </row>
    <row r="14" spans="1:8" ht="18" customHeight="1">
      <c r="A14" s="95" t="s">
        <v>803</v>
      </c>
      <c r="B14" s="96" t="s">
        <v>1203</v>
      </c>
      <c r="C14" s="118">
        <f>185404.93/7.5345</f>
        <v>24607.46300351715</v>
      </c>
      <c r="D14" s="167">
        <v>974430</v>
      </c>
      <c r="E14" s="167">
        <v>974430</v>
      </c>
      <c r="F14" s="118">
        <v>16855.79</v>
      </c>
      <c r="G14" s="52"/>
      <c r="H14" s="52">
        <f t="shared" si="0"/>
        <v>1.7298102480424453</v>
      </c>
    </row>
    <row r="15" spans="1:8" ht="18" customHeight="1">
      <c r="A15" s="95" t="s">
        <v>1212</v>
      </c>
      <c r="B15" s="96" t="s">
        <v>1204</v>
      </c>
      <c r="C15" s="118">
        <f>259260.92/7.5345</f>
        <v>34409.83741455969</v>
      </c>
      <c r="D15" s="167">
        <v>85115</v>
      </c>
      <c r="E15" s="167">
        <v>85115</v>
      </c>
      <c r="F15" s="118">
        <v>48128.09</v>
      </c>
      <c r="G15" s="52"/>
      <c r="H15" s="52">
        <f t="shared" si="0"/>
        <v>56.54478059096516</v>
      </c>
    </row>
    <row r="16" spans="1:8" ht="18" customHeight="1">
      <c r="A16" s="95" t="s">
        <v>1213</v>
      </c>
      <c r="B16" s="96" t="s">
        <v>1205</v>
      </c>
      <c r="C16" s="118">
        <f>54000/7.5345</f>
        <v>7167.031654389806</v>
      </c>
      <c r="D16" s="167">
        <v>7964</v>
      </c>
      <c r="E16" s="167">
        <v>7964</v>
      </c>
      <c r="F16" s="118">
        <v>7219.94</v>
      </c>
      <c r="G16" s="52"/>
      <c r="H16" s="52">
        <f t="shared" si="0"/>
        <v>90.65720743345052</v>
      </c>
    </row>
    <row r="17" spans="1:8" ht="18" customHeight="1">
      <c r="A17" s="95" t="s">
        <v>1197</v>
      </c>
      <c r="B17" s="96" t="s">
        <v>804</v>
      </c>
      <c r="C17" s="118">
        <f>C18+C19+C20</f>
        <v>1459.9508925608866</v>
      </c>
      <c r="D17" s="167">
        <f>D18+D19+D20</f>
        <v>670</v>
      </c>
      <c r="E17" s="167">
        <f>E18+E19+E20</f>
        <v>670</v>
      </c>
      <c r="F17" s="118">
        <f>F18+F19+F20</f>
        <v>817.69</v>
      </c>
      <c r="G17" s="52">
        <f>F17/C17*100</f>
        <v>56.00804822727273</v>
      </c>
      <c r="H17" s="52">
        <f t="shared" si="0"/>
        <v>122.04328358208956</v>
      </c>
    </row>
    <row r="18" spans="1:8" ht="18" customHeight="1">
      <c r="A18" s="95" t="s">
        <v>805</v>
      </c>
      <c r="B18" s="96" t="s">
        <v>1206</v>
      </c>
      <c r="C18" s="118">
        <f>11000/7.5345</f>
        <v>1459.9508925608866</v>
      </c>
      <c r="D18" s="167">
        <v>0</v>
      </c>
      <c r="E18" s="167">
        <v>0</v>
      </c>
      <c r="F18" s="118">
        <v>0</v>
      </c>
      <c r="G18" s="52"/>
      <c r="H18" s="52" t="e">
        <f t="shared" si="0"/>
        <v>#DIV/0!</v>
      </c>
    </row>
    <row r="19" spans="1:8" ht="18" customHeight="1">
      <c r="A19" s="95" t="s">
        <v>1214</v>
      </c>
      <c r="B19" s="96" t="s">
        <v>1207</v>
      </c>
      <c r="C19" s="118">
        <v>0</v>
      </c>
      <c r="D19" s="167">
        <v>670</v>
      </c>
      <c r="E19" s="167">
        <v>670</v>
      </c>
      <c r="F19" s="118">
        <v>300</v>
      </c>
      <c r="G19" s="52"/>
      <c r="H19" s="52">
        <f t="shared" si="0"/>
        <v>44.776119402985074</v>
      </c>
    </row>
    <row r="20" spans="1:8" ht="18" customHeight="1">
      <c r="A20" s="95" t="s">
        <v>1215</v>
      </c>
      <c r="B20" s="96" t="s">
        <v>1208</v>
      </c>
      <c r="C20" s="118">
        <v>0</v>
      </c>
      <c r="D20" s="167">
        <v>0</v>
      </c>
      <c r="E20" s="167">
        <v>0</v>
      </c>
      <c r="F20" s="118">
        <v>517.69</v>
      </c>
      <c r="G20" s="52"/>
      <c r="H20" s="52" t="e">
        <f t="shared" si="0"/>
        <v>#DIV/0!</v>
      </c>
    </row>
    <row r="21" spans="1:8" ht="21" customHeight="1">
      <c r="A21" s="95" t="s">
        <v>1321</v>
      </c>
      <c r="B21" s="156" t="s">
        <v>806</v>
      </c>
      <c r="C21" s="118">
        <f>C22+C23</f>
        <v>12745.11248258013</v>
      </c>
      <c r="D21" s="167">
        <f>D22+D23</f>
        <v>600</v>
      </c>
      <c r="E21" s="167">
        <f>E22+E23</f>
        <v>600</v>
      </c>
      <c r="F21" s="118">
        <f>F22+F23</f>
        <v>5720.8</v>
      </c>
      <c r="G21" s="52">
        <f>F21/C21*100</f>
        <v>44.88622605582432</v>
      </c>
      <c r="H21" s="52">
        <f t="shared" si="0"/>
        <v>953.4666666666667</v>
      </c>
    </row>
    <row r="22" spans="1:8" ht="21.75" customHeight="1">
      <c r="A22" s="95" t="s">
        <v>1176</v>
      </c>
      <c r="B22" s="156" t="s">
        <v>1322</v>
      </c>
      <c r="C22" s="118">
        <f>96028.05/7.5345</f>
        <v>12745.11248258013</v>
      </c>
      <c r="D22" s="167">
        <v>600</v>
      </c>
      <c r="E22" s="167">
        <v>600</v>
      </c>
      <c r="F22" s="118">
        <v>5720.8</v>
      </c>
      <c r="G22" s="52">
        <f>F22/C22*100</f>
        <v>44.88622605582432</v>
      </c>
      <c r="H22" s="52">
        <f>F22/E22*100</f>
        <v>953.4666666666667</v>
      </c>
    </row>
    <row r="23" spans="1:8" ht="21.75" customHeight="1">
      <c r="A23" s="95" t="s">
        <v>1323</v>
      </c>
      <c r="B23" s="156" t="s">
        <v>1324</v>
      </c>
      <c r="C23" s="118">
        <v>0</v>
      </c>
      <c r="D23" s="167">
        <v>0</v>
      </c>
      <c r="E23" s="167">
        <f>'TABLICA 1-3'!E192</f>
        <v>0</v>
      </c>
      <c r="F23" s="118">
        <v>0</v>
      </c>
      <c r="G23" s="52" t="e">
        <f>F23/C23*100</f>
        <v>#DIV/0!</v>
      </c>
      <c r="H23" s="52" t="e">
        <f>F23/E23*100</f>
        <v>#DIV/0!</v>
      </c>
    </row>
    <row r="24" spans="1:8" ht="18" customHeight="1">
      <c r="A24" s="95" t="s">
        <v>1218</v>
      </c>
      <c r="B24" s="96" t="s">
        <v>1177</v>
      </c>
      <c r="C24" s="118">
        <f>C25+C26</f>
        <v>67547.14712323312</v>
      </c>
      <c r="D24" s="167">
        <f>D25+D26</f>
        <v>0</v>
      </c>
      <c r="E24" s="167">
        <f>E25+E26</f>
        <v>0</v>
      </c>
      <c r="F24" s="118">
        <f>F25+F26</f>
        <v>0</v>
      </c>
      <c r="G24" s="52">
        <f>F24/C24*100</f>
        <v>0</v>
      </c>
      <c r="H24" s="118" t="e">
        <f>H25+H26</f>
        <v>#DIV/0!</v>
      </c>
    </row>
    <row r="25" spans="1:8" ht="18" customHeight="1">
      <c r="A25" s="95" t="s">
        <v>1175</v>
      </c>
      <c r="B25" s="96" t="s">
        <v>1221</v>
      </c>
      <c r="C25" s="118">
        <f>508933.98/7.5345</f>
        <v>67547.14712323312</v>
      </c>
      <c r="D25" s="167">
        <v>0</v>
      </c>
      <c r="E25" s="167">
        <v>0</v>
      </c>
      <c r="F25" s="118">
        <v>0</v>
      </c>
      <c r="G25" s="52"/>
      <c r="H25" s="52" t="e">
        <f>F25/E25*100</f>
        <v>#DIV/0!</v>
      </c>
    </row>
    <row r="26" spans="1:8" ht="18" customHeight="1">
      <c r="A26" s="95" t="s">
        <v>1219</v>
      </c>
      <c r="B26" s="96" t="s">
        <v>1220</v>
      </c>
      <c r="C26" s="118">
        <v>0</v>
      </c>
      <c r="D26" s="167">
        <v>0</v>
      </c>
      <c r="E26" s="167">
        <v>0</v>
      </c>
      <c r="F26" s="118">
        <v>0</v>
      </c>
      <c r="G26" s="52"/>
      <c r="H26" s="52" t="e">
        <f>F26/E26*100</f>
        <v>#DIV/0!</v>
      </c>
    </row>
    <row r="27" spans="1:8" ht="30" customHeight="1">
      <c r="A27" s="204" t="s">
        <v>807</v>
      </c>
      <c r="B27" s="205"/>
      <c r="C27" s="116">
        <f>C5+C6+C10+C13+C17+C21+C24</f>
        <v>2390067.587762957</v>
      </c>
      <c r="D27" s="169">
        <f>D5+D6+D10+D13+D17+D21+D24</f>
        <v>8164426</v>
      </c>
      <c r="E27" s="169">
        <f>E5+E6+E10+E13+E17+E21+E24</f>
        <v>8164426</v>
      </c>
      <c r="F27" s="116">
        <f>F5+F6+F10+F13+F17+F21+F24</f>
        <v>2877920.88</v>
      </c>
      <c r="G27" s="54">
        <f>F27/C27*100</f>
        <v>120.41169441127234</v>
      </c>
      <c r="H27" s="54">
        <f t="shared" si="0"/>
        <v>35.24951882716556</v>
      </c>
    </row>
    <row r="28" ht="180" customHeight="1"/>
    <row r="29" spans="1:2" ht="28.5" customHeight="1">
      <c r="A29" s="99" t="s">
        <v>892</v>
      </c>
      <c r="B29" s="12"/>
    </row>
    <row r="30" spans="3:8" ht="22.5" customHeight="1">
      <c r="C30" s="148"/>
      <c r="F30" s="8"/>
      <c r="G30" s="177"/>
      <c r="H30" s="177"/>
    </row>
    <row r="31" spans="1:8" ht="30" customHeight="1">
      <c r="A31" s="90" t="s">
        <v>795</v>
      </c>
      <c r="B31" s="90" t="s">
        <v>796</v>
      </c>
      <c r="C31" s="149" t="s">
        <v>1353</v>
      </c>
      <c r="D31" s="171" t="s">
        <v>1387</v>
      </c>
      <c r="E31" s="171" t="s">
        <v>1388</v>
      </c>
      <c r="F31" s="46" t="s">
        <v>1402</v>
      </c>
      <c r="G31" s="53" t="s">
        <v>793</v>
      </c>
      <c r="H31" s="53" t="s">
        <v>794</v>
      </c>
    </row>
    <row r="32" spans="1:8" s="48" customFormat="1" ht="9.75" customHeight="1">
      <c r="A32" s="94">
        <v>1</v>
      </c>
      <c r="B32" s="94">
        <v>2</v>
      </c>
      <c r="C32" s="150">
        <v>3</v>
      </c>
      <c r="D32" s="172">
        <v>4</v>
      </c>
      <c r="E32" s="172">
        <v>5</v>
      </c>
      <c r="F32" s="53">
        <v>6</v>
      </c>
      <c r="G32" s="53">
        <v>7</v>
      </c>
      <c r="H32" s="53">
        <v>8</v>
      </c>
    </row>
    <row r="33" spans="1:8" ht="18" customHeight="1">
      <c r="A33" s="95" t="s">
        <v>797</v>
      </c>
      <c r="B33" s="96" t="s">
        <v>798</v>
      </c>
      <c r="C33" s="118">
        <f>11154563.62/7.5345</f>
        <v>1480465.0102860176</v>
      </c>
      <c r="D33" s="167">
        <v>4659230</v>
      </c>
      <c r="E33" s="167">
        <v>4659230</v>
      </c>
      <c r="F33" s="118">
        <v>1715547.55</v>
      </c>
      <c r="G33" s="52">
        <f>F33/C33*100</f>
        <v>115.87896627618142</v>
      </c>
      <c r="H33" s="52">
        <f aca="true" t="shared" si="1" ref="H33:H57">F33/E33*100</f>
        <v>36.820409166321475</v>
      </c>
    </row>
    <row r="34" spans="1:8" ht="18" customHeight="1">
      <c r="A34" s="95" t="s">
        <v>1194</v>
      </c>
      <c r="B34" s="96" t="s">
        <v>799</v>
      </c>
      <c r="C34" s="118">
        <f>C35+C36+C37</f>
        <v>251199.34700378258</v>
      </c>
      <c r="D34" s="167">
        <f>D35+D36+D37</f>
        <v>1143723</v>
      </c>
      <c r="E34" s="167">
        <f>E35+E36+E37</f>
        <v>1143723</v>
      </c>
      <c r="F34" s="167">
        <f>F35+F36+F37</f>
        <v>344418.23000000004</v>
      </c>
      <c r="G34" s="52">
        <f>F34/C34*100</f>
        <v>137.10952441083128</v>
      </c>
      <c r="H34" s="52">
        <f t="shared" si="1"/>
        <v>30.113780172296966</v>
      </c>
    </row>
    <row r="35" spans="1:8" ht="18" customHeight="1">
      <c r="A35" s="95" t="s">
        <v>800</v>
      </c>
      <c r="B35" s="96" t="s">
        <v>1201</v>
      </c>
      <c r="C35" s="118">
        <f>1885072.72/7.5345</f>
        <v>250192.145464198</v>
      </c>
      <c r="D35" s="167">
        <v>1139500</v>
      </c>
      <c r="E35" s="167">
        <v>1139500</v>
      </c>
      <c r="F35" s="118">
        <v>342561.71</v>
      </c>
      <c r="G35" s="52"/>
      <c r="H35" s="52">
        <f t="shared" si="1"/>
        <v>30.06245809565599</v>
      </c>
    </row>
    <row r="36" spans="1:8" ht="18" customHeight="1">
      <c r="A36" s="95" t="s">
        <v>133</v>
      </c>
      <c r="B36" s="96" t="s">
        <v>1198</v>
      </c>
      <c r="C36" s="118">
        <f>0.58/7.5345</f>
        <v>0.0769792288804831</v>
      </c>
      <c r="D36" s="167">
        <v>1070</v>
      </c>
      <c r="E36" s="167">
        <v>1070</v>
      </c>
      <c r="F36" s="118">
        <v>0</v>
      </c>
      <c r="G36" s="52"/>
      <c r="H36" s="52">
        <f t="shared" si="1"/>
        <v>0</v>
      </c>
    </row>
    <row r="37" spans="1:8" ht="18" customHeight="1">
      <c r="A37" s="95" t="s">
        <v>1209</v>
      </c>
      <c r="B37" s="96" t="s">
        <v>1199</v>
      </c>
      <c r="C37" s="118">
        <f>7588.18/7.5345</f>
        <v>1007.1245603556971</v>
      </c>
      <c r="D37" s="167">
        <v>3153</v>
      </c>
      <c r="E37" s="167">
        <v>3153</v>
      </c>
      <c r="F37" s="118">
        <v>1856.52</v>
      </c>
      <c r="G37" s="52"/>
      <c r="H37" s="52">
        <f t="shared" si="1"/>
        <v>58.881065651760224</v>
      </c>
    </row>
    <row r="38" spans="1:8" ht="18" customHeight="1">
      <c r="A38" s="95" t="s">
        <v>1195</v>
      </c>
      <c r="B38" s="96" t="s">
        <v>801</v>
      </c>
      <c r="C38" s="118">
        <f>C39+C40</f>
        <v>415417.791492468</v>
      </c>
      <c r="D38" s="167">
        <f>D39+D40</f>
        <v>1292694</v>
      </c>
      <c r="E38" s="167">
        <f>E39+E40</f>
        <v>1292694</v>
      </c>
      <c r="F38" s="118">
        <f>F39+F40</f>
        <v>529132.53</v>
      </c>
      <c r="G38" s="52">
        <f>F38/C38*100</f>
        <v>127.37358409686547</v>
      </c>
      <c r="H38" s="52">
        <f t="shared" si="1"/>
        <v>40.932543200478996</v>
      </c>
    </row>
    <row r="39" spans="1:8" ht="18" customHeight="1">
      <c r="A39" s="95" t="s">
        <v>1210</v>
      </c>
      <c r="B39" s="96" t="s">
        <v>1200</v>
      </c>
      <c r="C39" s="118">
        <f>2669209.47/7.5345</f>
        <v>354264.97710531554</v>
      </c>
      <c r="D39" s="167">
        <v>1164664</v>
      </c>
      <c r="E39" s="167">
        <v>1164664</v>
      </c>
      <c r="F39" s="118">
        <v>475828.42</v>
      </c>
      <c r="G39" s="52"/>
      <c r="H39" s="52">
        <f t="shared" si="1"/>
        <v>40.855424397079325</v>
      </c>
    </row>
    <row r="40" spans="1:8" ht="18" customHeight="1">
      <c r="A40" s="95" t="s">
        <v>1211</v>
      </c>
      <c r="B40" s="96" t="s">
        <v>1216</v>
      </c>
      <c r="C40" s="118">
        <f>460755.88/7.5345</f>
        <v>61152.81438715243</v>
      </c>
      <c r="D40" s="167">
        <v>128030</v>
      </c>
      <c r="E40" s="167">
        <v>128030</v>
      </c>
      <c r="F40" s="118">
        <v>53304.11</v>
      </c>
      <c r="G40" s="52"/>
      <c r="H40" s="52">
        <f t="shared" si="1"/>
        <v>41.63407795048036</v>
      </c>
    </row>
    <row r="41" spans="1:8" ht="18" customHeight="1">
      <c r="A41" s="95" t="s">
        <v>1196</v>
      </c>
      <c r="B41" s="96" t="s">
        <v>802</v>
      </c>
      <c r="C41" s="118">
        <f>C42+C43+C44</f>
        <v>44417.02037295109</v>
      </c>
      <c r="D41" s="167">
        <f>D42+D43+D44</f>
        <v>1067509</v>
      </c>
      <c r="E41" s="167">
        <f>E42+E43+E44</f>
        <v>1067509</v>
      </c>
      <c r="F41" s="118">
        <f>F42+F43+F44</f>
        <v>65344.07</v>
      </c>
      <c r="G41" s="52">
        <f>F41/C41*100</f>
        <v>147.11493353523772</v>
      </c>
      <c r="H41" s="52">
        <f t="shared" si="1"/>
        <v>6.121172748894857</v>
      </c>
    </row>
    <row r="42" spans="1:8" ht="18" customHeight="1">
      <c r="A42" s="95" t="s">
        <v>803</v>
      </c>
      <c r="B42" s="96" t="s">
        <v>1203</v>
      </c>
      <c r="C42" s="118">
        <f>300000/7.5345</f>
        <v>39816.842524387816</v>
      </c>
      <c r="D42" s="167">
        <v>974430</v>
      </c>
      <c r="E42" s="167">
        <v>974430</v>
      </c>
      <c r="F42" s="118">
        <v>16855.79</v>
      </c>
      <c r="G42" s="52"/>
      <c r="H42" s="52">
        <f t="shared" si="1"/>
        <v>1.7298102480424453</v>
      </c>
    </row>
    <row r="43" spans="1:8" ht="18" customHeight="1">
      <c r="A43" s="95" t="s">
        <v>1212</v>
      </c>
      <c r="B43" s="96" t="s">
        <v>1204</v>
      </c>
      <c r="C43" s="118">
        <f>6480/7.5345</f>
        <v>860.0437985267768</v>
      </c>
      <c r="D43" s="167">
        <v>85115</v>
      </c>
      <c r="E43" s="167">
        <v>85115</v>
      </c>
      <c r="F43" s="118">
        <v>48128.09</v>
      </c>
      <c r="G43" s="52"/>
      <c r="H43" s="52">
        <f t="shared" si="1"/>
        <v>56.54478059096516</v>
      </c>
    </row>
    <row r="44" spans="1:8" ht="18" customHeight="1">
      <c r="A44" s="95" t="s">
        <v>1213</v>
      </c>
      <c r="B44" s="96" t="s">
        <v>1217</v>
      </c>
      <c r="C44" s="118">
        <f>28180.04/7.5345</f>
        <v>3740.1340500364986</v>
      </c>
      <c r="D44" s="167">
        <v>7964</v>
      </c>
      <c r="E44" s="167">
        <v>7964</v>
      </c>
      <c r="F44" s="118">
        <v>360.19</v>
      </c>
      <c r="G44" s="52"/>
      <c r="H44" s="52">
        <f t="shared" si="1"/>
        <v>4.5227272727272725</v>
      </c>
    </row>
    <row r="45" spans="1:8" ht="18" customHeight="1">
      <c r="A45" s="95" t="s">
        <v>1197</v>
      </c>
      <c r="B45" s="96" t="s">
        <v>804</v>
      </c>
      <c r="C45" s="118">
        <f>C46+C47+C48</f>
        <v>2286.799389475081</v>
      </c>
      <c r="D45" s="167">
        <f>D46+D47+D48</f>
        <v>670</v>
      </c>
      <c r="E45" s="167">
        <f>E46+E47+E48</f>
        <v>670</v>
      </c>
      <c r="F45" s="118">
        <f>F46+F47+F48</f>
        <v>0</v>
      </c>
      <c r="G45" s="52">
        <f>F45/C45*100</f>
        <v>0</v>
      </c>
      <c r="H45" s="52">
        <f t="shared" si="1"/>
        <v>0</v>
      </c>
    </row>
    <row r="46" spans="1:8" ht="18" customHeight="1">
      <c r="A46" s="95" t="s">
        <v>805</v>
      </c>
      <c r="B46" s="96" t="s">
        <v>1206</v>
      </c>
      <c r="C46" s="118">
        <v>0</v>
      </c>
      <c r="D46" s="167">
        <v>0</v>
      </c>
      <c r="E46" s="167">
        <v>0</v>
      </c>
      <c r="F46" s="118">
        <v>0</v>
      </c>
      <c r="G46" s="52"/>
      <c r="H46" s="52" t="e">
        <f t="shared" si="1"/>
        <v>#DIV/0!</v>
      </c>
    </row>
    <row r="47" spans="1:8" ht="18" customHeight="1">
      <c r="A47" s="95" t="s">
        <v>1214</v>
      </c>
      <c r="B47" s="96" t="s">
        <v>1207</v>
      </c>
      <c r="C47" s="118">
        <v>0</v>
      </c>
      <c r="D47" s="167">
        <v>670</v>
      </c>
      <c r="E47" s="167">
        <v>670</v>
      </c>
      <c r="F47" s="118">
        <v>0</v>
      </c>
      <c r="G47" s="52"/>
      <c r="H47" s="52">
        <f t="shared" si="1"/>
        <v>0</v>
      </c>
    </row>
    <row r="48" spans="1:8" ht="18" customHeight="1">
      <c r="A48" s="95" t="s">
        <v>1215</v>
      </c>
      <c r="B48" s="96" t="s">
        <v>1208</v>
      </c>
      <c r="C48" s="118">
        <f>17229.89/7.5345</f>
        <v>2286.799389475081</v>
      </c>
      <c r="D48" s="167">
        <v>0</v>
      </c>
      <c r="E48" s="167">
        <v>0</v>
      </c>
      <c r="F48" s="118">
        <v>0</v>
      </c>
      <c r="G48" s="52"/>
      <c r="H48" s="52" t="e">
        <f t="shared" si="1"/>
        <v>#DIV/0!</v>
      </c>
    </row>
    <row r="49" spans="1:8" ht="18" customHeight="1">
      <c r="A49" s="95" t="s">
        <v>1176</v>
      </c>
      <c r="B49" s="96" t="s">
        <v>806</v>
      </c>
      <c r="C49" s="118">
        <f>44808.05/7.5345</f>
        <v>5947.050235582985</v>
      </c>
      <c r="D49" s="167">
        <v>600</v>
      </c>
      <c r="E49" s="167">
        <v>600</v>
      </c>
      <c r="F49" s="118">
        <v>5720.8</v>
      </c>
      <c r="G49" s="52">
        <f>F49/C49*100</f>
        <v>96.19558896225121</v>
      </c>
      <c r="H49" s="52">
        <f t="shared" si="1"/>
        <v>953.4666666666667</v>
      </c>
    </row>
    <row r="50" spans="1:8" ht="18" customHeight="1">
      <c r="A50" s="95" t="s">
        <v>1218</v>
      </c>
      <c r="B50" s="96" t="s">
        <v>1177</v>
      </c>
      <c r="C50" s="118">
        <f aca="true" t="shared" si="2" ref="C50:H50">C51+C52</f>
        <v>67547.13712323313</v>
      </c>
      <c r="D50" s="167">
        <f t="shared" si="2"/>
        <v>0</v>
      </c>
      <c r="E50" s="167">
        <f t="shared" si="2"/>
        <v>0</v>
      </c>
      <c r="F50" s="118">
        <f t="shared" si="2"/>
        <v>0</v>
      </c>
      <c r="G50" s="118">
        <f t="shared" si="2"/>
        <v>0</v>
      </c>
      <c r="H50" s="118" t="e">
        <f t="shared" si="2"/>
        <v>#DIV/0!</v>
      </c>
    </row>
    <row r="51" spans="1:8" ht="18" customHeight="1">
      <c r="A51" s="95" t="s">
        <v>1175</v>
      </c>
      <c r="B51" s="96" t="s">
        <v>1221</v>
      </c>
      <c r="C51" s="118">
        <f>508933.98/7.5345-0.01</f>
        <v>67547.13712323313</v>
      </c>
      <c r="D51" s="167">
        <v>0</v>
      </c>
      <c r="E51" s="167">
        <v>0</v>
      </c>
      <c r="F51" s="118">
        <v>0</v>
      </c>
      <c r="G51" s="52"/>
      <c r="H51" s="52" t="e">
        <f>F51/E51*100</f>
        <v>#DIV/0!</v>
      </c>
    </row>
    <row r="52" spans="1:8" ht="18" customHeight="1">
      <c r="A52" s="95" t="s">
        <v>1219</v>
      </c>
      <c r="B52" s="96" t="s">
        <v>1220</v>
      </c>
      <c r="C52" s="118">
        <v>0</v>
      </c>
      <c r="D52" s="167">
        <v>0</v>
      </c>
      <c r="E52" s="167">
        <v>0</v>
      </c>
      <c r="F52" s="118">
        <v>0</v>
      </c>
      <c r="G52" s="52"/>
      <c r="H52" s="52" t="e">
        <f>F52/E52*100</f>
        <v>#DIV/0!</v>
      </c>
    </row>
    <row r="53" spans="1:8" ht="18" customHeight="1">
      <c r="A53" s="95" t="s">
        <v>1403</v>
      </c>
      <c r="B53" s="96" t="s">
        <v>1404</v>
      </c>
      <c r="C53" s="118">
        <f>C54+C55+C56</f>
        <v>0</v>
      </c>
      <c r="D53" s="167">
        <f>D54+D55+D56</f>
        <v>3513474</v>
      </c>
      <c r="E53" s="167">
        <f>E54+E55+E56</f>
        <v>3513474</v>
      </c>
      <c r="F53" s="118">
        <f>F54+F55+F56</f>
        <v>6636.14</v>
      </c>
      <c r="G53" s="118">
        <f>G54+G55</f>
        <v>0</v>
      </c>
      <c r="H53" s="118">
        <f>H54+H55</f>
        <v>49.97093373493976</v>
      </c>
    </row>
    <row r="54" spans="1:8" ht="18" customHeight="1">
      <c r="A54" s="95" t="s">
        <v>1405</v>
      </c>
      <c r="B54" s="96" t="s">
        <v>1406</v>
      </c>
      <c r="C54" s="118">
        <v>0</v>
      </c>
      <c r="D54" s="167">
        <v>3496396</v>
      </c>
      <c r="E54" s="167">
        <v>3496396</v>
      </c>
      <c r="F54" s="118">
        <v>0</v>
      </c>
      <c r="G54" s="52"/>
      <c r="H54" s="52">
        <f>F54/E54*100</f>
        <v>0</v>
      </c>
    </row>
    <row r="55" spans="1:8" ht="18" customHeight="1">
      <c r="A55" s="95" t="s">
        <v>1407</v>
      </c>
      <c r="B55" s="96" t="s">
        <v>1408</v>
      </c>
      <c r="C55" s="118">
        <v>0</v>
      </c>
      <c r="D55" s="167">
        <v>13280</v>
      </c>
      <c r="E55" s="167">
        <v>13280</v>
      </c>
      <c r="F55" s="118">
        <v>6636.14</v>
      </c>
      <c r="G55" s="52"/>
      <c r="H55" s="52">
        <f>F55/E55*100</f>
        <v>49.97093373493976</v>
      </c>
    </row>
    <row r="56" spans="1:8" ht="18" customHeight="1">
      <c r="A56" s="95" t="s">
        <v>1409</v>
      </c>
      <c r="B56" s="96" t="s">
        <v>1410</v>
      </c>
      <c r="C56" s="118">
        <v>0</v>
      </c>
      <c r="D56" s="167">
        <v>3798</v>
      </c>
      <c r="E56" s="167">
        <v>3798</v>
      </c>
      <c r="F56" s="118">
        <v>0</v>
      </c>
      <c r="G56" s="52"/>
      <c r="H56" s="52">
        <f>F56/E56*100</f>
        <v>0</v>
      </c>
    </row>
    <row r="57" spans="1:8" ht="30" customHeight="1">
      <c r="A57" s="204" t="s">
        <v>808</v>
      </c>
      <c r="B57" s="205"/>
      <c r="C57" s="116">
        <f>C33+C34+C38+C41+C45+C49+C50</f>
        <v>2267280.1559035103</v>
      </c>
      <c r="D57" s="169">
        <f>D33+D34+D38+D41+D45+D49+D50+D53</f>
        <v>11677900</v>
      </c>
      <c r="E57" s="169">
        <f>E33+E34+E38+E41+E45+E49+E50+E53</f>
        <v>11677900</v>
      </c>
      <c r="F57" s="168">
        <f>F33+F34+F38+F41+F45+F49+F50+F53</f>
        <v>2666799.32</v>
      </c>
      <c r="G57" s="54">
        <f>F57/C57*100</f>
        <v>117.62107620693575</v>
      </c>
      <c r="H57" s="54">
        <f t="shared" si="1"/>
        <v>22.83629179903921</v>
      </c>
    </row>
    <row r="58" ht="99" customHeight="1"/>
    <row r="59" ht="54" customHeight="1"/>
    <row r="60" ht="72.75" customHeight="1"/>
    <row r="61" ht="95.25" customHeight="1"/>
    <row r="62" ht="25.5" customHeight="1"/>
  </sheetData>
  <sheetProtection/>
  <mergeCells count="4">
    <mergeCell ref="G2:H2"/>
    <mergeCell ref="A27:B27"/>
    <mergeCell ref="G30:H30"/>
    <mergeCell ref="A57:B57"/>
  </mergeCells>
  <printOptions/>
  <pageMargins left="0.7480314960629921" right="0.3937007874015748" top="0.9448818897637796" bottom="0.5905511811023623" header="0.5118110236220472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zoomScale="140" zoomScaleNormal="140" workbookViewId="0" topLeftCell="A1">
      <selection activeCell="G3" sqref="G3"/>
    </sheetView>
  </sheetViews>
  <sheetFormatPr defaultColWidth="9.140625" defaultRowHeight="12.75"/>
  <cols>
    <col min="1" max="1" width="6.8515625" style="2" customWidth="1"/>
    <col min="2" max="2" width="36.28125" style="2" customWidth="1"/>
    <col min="3" max="3" width="10.00390625" style="145" customWidth="1"/>
    <col min="4" max="5" width="8.57421875" style="2" customWidth="1"/>
    <col min="6" max="6" width="10.421875" style="2" customWidth="1"/>
    <col min="7" max="7" width="6.00390625" style="48" customWidth="1"/>
    <col min="8" max="8" width="5.421875" style="48" customWidth="1"/>
    <col min="9" max="16384" width="9.140625" style="2" customWidth="1"/>
  </cols>
  <sheetData>
    <row r="1" spans="1:2" ht="22.5" customHeight="1">
      <c r="A1" s="99" t="s">
        <v>893</v>
      </c>
      <c r="B1" s="12"/>
    </row>
    <row r="2" spans="3:8" ht="9.75" customHeight="1">
      <c r="C2" s="148"/>
      <c r="D2" s="8"/>
      <c r="E2" s="8"/>
      <c r="F2" s="8"/>
      <c r="G2" s="177" t="s">
        <v>1441</v>
      </c>
      <c r="H2" s="177"/>
    </row>
    <row r="3" spans="1:8" ht="26.25" customHeight="1">
      <c r="A3" s="90" t="s">
        <v>894</v>
      </c>
      <c r="B3" s="90" t="s">
        <v>796</v>
      </c>
      <c r="C3" s="149" t="s">
        <v>1353</v>
      </c>
      <c r="D3" s="46" t="s">
        <v>1387</v>
      </c>
      <c r="E3" s="46" t="s">
        <v>1388</v>
      </c>
      <c r="F3" s="46" t="s">
        <v>1402</v>
      </c>
      <c r="G3" s="53" t="s">
        <v>793</v>
      </c>
      <c r="H3" s="53" t="s">
        <v>794</v>
      </c>
    </row>
    <row r="4" spans="1:8" s="48" customFormat="1" ht="9.75" customHeight="1">
      <c r="A4" s="94">
        <v>1</v>
      </c>
      <c r="B4" s="94">
        <v>2</v>
      </c>
      <c r="C4" s="150">
        <v>3</v>
      </c>
      <c r="D4" s="53">
        <v>4</v>
      </c>
      <c r="E4" s="53">
        <v>5</v>
      </c>
      <c r="F4" s="53">
        <v>6</v>
      </c>
      <c r="G4" s="53">
        <v>7</v>
      </c>
      <c r="H4" s="53">
        <v>8</v>
      </c>
    </row>
    <row r="5" spans="1:8" ht="18" customHeight="1">
      <c r="A5" s="97" t="s">
        <v>809</v>
      </c>
      <c r="B5" s="98" t="s">
        <v>810</v>
      </c>
      <c r="C5" s="120">
        <f>SUM(C6:C8)</f>
        <v>778705.332802442</v>
      </c>
      <c r="D5" s="91">
        <f>SUM(D6:D8)</f>
        <v>1894470</v>
      </c>
      <c r="E5" s="91">
        <f>SUM(E6:E8)</f>
        <v>1894470</v>
      </c>
      <c r="F5" s="120">
        <f>SUM(F6:F8)</f>
        <v>634889.68</v>
      </c>
      <c r="G5" s="52">
        <f>F5/C5*100</f>
        <v>81.531441131285</v>
      </c>
      <c r="H5" s="52">
        <f>F5/E5*100</f>
        <v>33.512786161828906</v>
      </c>
    </row>
    <row r="6" spans="1:8" ht="18" customHeight="1">
      <c r="A6" s="95" t="s">
        <v>811</v>
      </c>
      <c r="B6" s="96" t="s">
        <v>812</v>
      </c>
      <c r="C6" s="118">
        <f>3607705.37/7.5345</f>
        <v>478824.78863892757</v>
      </c>
      <c r="D6" s="20">
        <v>1177870</v>
      </c>
      <c r="E6" s="20">
        <v>1177870</v>
      </c>
      <c r="F6" s="118">
        <v>384212.71</v>
      </c>
      <c r="G6" s="52">
        <f>F6/C6*100</f>
        <v>80.24077264089335</v>
      </c>
      <c r="H6" s="52">
        <f>F6/E6*100</f>
        <v>32.619279716776894</v>
      </c>
    </row>
    <row r="7" spans="1:8" ht="18" customHeight="1">
      <c r="A7" s="95" t="s">
        <v>813</v>
      </c>
      <c r="B7" s="96" t="s">
        <v>814</v>
      </c>
      <c r="C7" s="118">
        <f>2212607.66/7.5345</f>
        <v>293663.50255491404</v>
      </c>
      <c r="D7" s="20">
        <v>679600</v>
      </c>
      <c r="E7" s="20">
        <v>679600</v>
      </c>
      <c r="F7" s="118">
        <v>241740.55</v>
      </c>
      <c r="G7" s="52">
        <f>F7/C7*100</f>
        <v>82.31889489052027</v>
      </c>
      <c r="H7" s="52">
        <f>F7/E7*100</f>
        <v>35.571005002942904</v>
      </c>
    </row>
    <row r="8" spans="1:8" ht="18" customHeight="1">
      <c r="A8" s="95" t="s">
        <v>815</v>
      </c>
      <c r="B8" s="96" t="s">
        <v>816</v>
      </c>
      <c r="C8" s="118">
        <f>46842.3/7.5345</f>
        <v>6217.041608600438</v>
      </c>
      <c r="D8" s="20">
        <v>37000</v>
      </c>
      <c r="E8" s="20">
        <v>37000</v>
      </c>
      <c r="F8" s="118">
        <v>8936.42</v>
      </c>
      <c r="G8" s="52">
        <f>F8/C8*100</f>
        <v>143.7407140341102</v>
      </c>
      <c r="H8" s="52">
        <f>F8/E8*100</f>
        <v>24.152486486486488</v>
      </c>
    </row>
    <row r="9" spans="1:8" ht="18" customHeight="1">
      <c r="A9" s="97" t="s">
        <v>817</v>
      </c>
      <c r="B9" s="98" t="s">
        <v>818</v>
      </c>
      <c r="C9" s="120">
        <f>SUM(C10:C12)</f>
        <v>103873.78591811002</v>
      </c>
      <c r="D9" s="91">
        <f>SUM(D10:D12)</f>
        <v>333700</v>
      </c>
      <c r="E9" s="91">
        <f>SUM(E10:E12)</f>
        <v>333700</v>
      </c>
      <c r="F9" s="120">
        <f>SUM(F10:F12)</f>
        <v>106790.65999999999</v>
      </c>
      <c r="G9" s="52">
        <f aca="true" t="shared" si="0" ref="G9:G19">F9/C9*100</f>
        <v>102.80809451211252</v>
      </c>
      <c r="H9" s="52">
        <f aca="true" t="shared" si="1" ref="H9:H19">F9/E9*100</f>
        <v>32.00199580461492</v>
      </c>
    </row>
    <row r="10" spans="1:8" ht="18" customHeight="1">
      <c r="A10" s="95" t="s">
        <v>819</v>
      </c>
      <c r="B10" s="96" t="s">
        <v>820</v>
      </c>
      <c r="C10" s="118">
        <v>0</v>
      </c>
      <c r="D10" s="20">
        <v>0</v>
      </c>
      <c r="E10" s="20">
        <v>0</v>
      </c>
      <c r="F10" s="118">
        <v>1471.26</v>
      </c>
      <c r="G10" s="52" t="e">
        <f t="shared" si="0"/>
        <v>#DIV/0!</v>
      </c>
      <c r="H10" s="52" t="e">
        <f t="shared" si="1"/>
        <v>#DIV/0!</v>
      </c>
    </row>
    <row r="11" spans="1:8" ht="18" customHeight="1">
      <c r="A11" s="95" t="s">
        <v>821</v>
      </c>
      <c r="B11" s="96" t="s">
        <v>822</v>
      </c>
      <c r="C11" s="118">
        <f>752637.04/7.5345</f>
        <v>99892.10166567125</v>
      </c>
      <c r="D11" s="20">
        <v>294000</v>
      </c>
      <c r="E11" s="20">
        <v>294000</v>
      </c>
      <c r="F11" s="118">
        <v>103319.4</v>
      </c>
      <c r="G11" s="52">
        <f t="shared" si="0"/>
        <v>103.4310003265319</v>
      </c>
      <c r="H11" s="52">
        <f t="shared" si="1"/>
        <v>35.142653061224486</v>
      </c>
    </row>
    <row r="12" spans="1:8" ht="18" customHeight="1">
      <c r="A12" s="95" t="s">
        <v>823</v>
      </c>
      <c r="B12" s="96" t="s">
        <v>824</v>
      </c>
      <c r="C12" s="118">
        <f>30000/7.5345</f>
        <v>3981.684252438781</v>
      </c>
      <c r="D12" s="20">
        <v>39700</v>
      </c>
      <c r="E12" s="20">
        <v>39700</v>
      </c>
      <c r="F12" s="118">
        <v>2000</v>
      </c>
      <c r="G12" s="52">
        <f t="shared" si="0"/>
        <v>50.23000000000001</v>
      </c>
      <c r="H12" s="52">
        <f t="shared" si="1"/>
        <v>5.037783375314862</v>
      </c>
    </row>
    <row r="13" spans="1:8" ht="18" customHeight="1">
      <c r="A13" s="97" t="s">
        <v>825</v>
      </c>
      <c r="B13" s="98" t="s">
        <v>826</v>
      </c>
      <c r="C13" s="120">
        <f>SUM(C14:C16)</f>
        <v>60341.33253699648</v>
      </c>
      <c r="D13" s="91">
        <f>SUM(D14:D16)</f>
        <v>935000</v>
      </c>
      <c r="E13" s="91">
        <f>SUM(E14:E16)</f>
        <v>935000</v>
      </c>
      <c r="F13" s="120">
        <f>SUM(F14:F16)</f>
        <v>159701.1</v>
      </c>
      <c r="G13" s="52">
        <f t="shared" si="0"/>
        <v>264.6628658756982</v>
      </c>
      <c r="H13" s="52">
        <f t="shared" si="1"/>
        <v>17.08033155080214</v>
      </c>
    </row>
    <row r="14" spans="1:8" ht="18" customHeight="1">
      <c r="A14" s="95" t="s">
        <v>877</v>
      </c>
      <c r="B14" s="96" t="s">
        <v>878</v>
      </c>
      <c r="C14" s="118">
        <v>0</v>
      </c>
      <c r="D14" s="20">
        <v>0</v>
      </c>
      <c r="E14" s="20">
        <v>0</v>
      </c>
      <c r="F14" s="118">
        <v>0</v>
      </c>
      <c r="G14" s="52" t="e">
        <f t="shared" si="0"/>
        <v>#DIV/0!</v>
      </c>
      <c r="H14" s="52" t="e">
        <f t="shared" si="1"/>
        <v>#DIV/0!</v>
      </c>
    </row>
    <row r="15" spans="1:8" ht="18" customHeight="1">
      <c r="A15" s="95" t="s">
        <v>827</v>
      </c>
      <c r="B15" s="96" t="s">
        <v>828</v>
      </c>
      <c r="C15" s="118">
        <f>454641.77/7.5345</f>
        <v>60341.33253699648</v>
      </c>
      <c r="D15" s="20">
        <v>895000</v>
      </c>
      <c r="E15" s="20">
        <v>895000</v>
      </c>
      <c r="F15" s="118">
        <v>159701.1</v>
      </c>
      <c r="G15" s="52">
        <f>F15/C15*100</f>
        <v>264.6628658756982</v>
      </c>
      <c r="H15" s="52">
        <f>F15/E15*100</f>
        <v>17.84369832402235</v>
      </c>
    </row>
    <row r="16" spans="1:8" ht="18" customHeight="1">
      <c r="A16" s="95" t="s">
        <v>829</v>
      </c>
      <c r="B16" s="96" t="s">
        <v>830</v>
      </c>
      <c r="C16" s="118">
        <v>0</v>
      </c>
      <c r="D16" s="20">
        <v>40000</v>
      </c>
      <c r="E16" s="20">
        <v>40000</v>
      </c>
      <c r="F16" s="118">
        <v>0</v>
      </c>
      <c r="G16" s="52" t="e">
        <f t="shared" si="0"/>
        <v>#DIV/0!</v>
      </c>
      <c r="H16" s="52">
        <f t="shared" si="1"/>
        <v>0</v>
      </c>
    </row>
    <row r="17" spans="1:8" ht="18" customHeight="1">
      <c r="A17" s="97" t="s">
        <v>831</v>
      </c>
      <c r="B17" s="98" t="s">
        <v>832</v>
      </c>
      <c r="C17" s="120">
        <f>SUM(C18:C19)</f>
        <v>17551.761895281703</v>
      </c>
      <c r="D17" s="91">
        <f>SUM(D18:D19)</f>
        <v>600100</v>
      </c>
      <c r="E17" s="91">
        <f>SUM(E18:E19)</f>
        <v>600100</v>
      </c>
      <c r="F17" s="120">
        <f>SUM(F18:F19)</f>
        <v>79197.53</v>
      </c>
      <c r="G17" s="52">
        <f t="shared" si="0"/>
        <v>451.22267765773427</v>
      </c>
      <c r="H17" s="52">
        <f t="shared" si="1"/>
        <v>13.197388768538577</v>
      </c>
    </row>
    <row r="18" spans="1:8" ht="18" customHeight="1">
      <c r="A18" s="95" t="s">
        <v>833</v>
      </c>
      <c r="B18" s="96" t="s">
        <v>834</v>
      </c>
      <c r="C18" s="118">
        <f>111150/7.5345</f>
        <v>14752.140155285684</v>
      </c>
      <c r="D18" s="20">
        <v>441100</v>
      </c>
      <c r="E18" s="20">
        <v>441100</v>
      </c>
      <c r="F18" s="118">
        <v>2717.03</v>
      </c>
      <c r="G18" s="52">
        <f>F18/C18*100</f>
        <v>18.417870026990556</v>
      </c>
      <c r="H18" s="52">
        <f t="shared" si="1"/>
        <v>0.6159669009294945</v>
      </c>
    </row>
    <row r="19" spans="1:8" ht="18" customHeight="1">
      <c r="A19" s="95" t="s">
        <v>835</v>
      </c>
      <c r="B19" s="96" t="s">
        <v>836</v>
      </c>
      <c r="C19" s="118">
        <f>21093.75/7.5345</f>
        <v>2799.6217399960183</v>
      </c>
      <c r="D19" s="20">
        <v>159000</v>
      </c>
      <c r="E19" s="20">
        <v>159000</v>
      </c>
      <c r="F19" s="118">
        <v>76480.5</v>
      </c>
      <c r="G19" s="52">
        <f t="shared" si="0"/>
        <v>2731.8154773333335</v>
      </c>
      <c r="H19" s="52">
        <f t="shared" si="1"/>
        <v>48.10094339622641</v>
      </c>
    </row>
    <row r="20" spans="1:8" ht="18" customHeight="1">
      <c r="A20" s="97" t="s">
        <v>837</v>
      </c>
      <c r="B20" s="98" t="s">
        <v>838</v>
      </c>
      <c r="C20" s="120">
        <f>SUM(C21:C24)</f>
        <v>581576.3992302078</v>
      </c>
      <c r="D20" s="91">
        <f>SUM(D21:D24)</f>
        <v>3761870</v>
      </c>
      <c r="E20" s="91">
        <f>SUM(E21:E24)</f>
        <v>3761870</v>
      </c>
      <c r="F20" s="120">
        <f>SUM(F21:F24)</f>
        <v>765129.6</v>
      </c>
      <c r="G20" s="52">
        <f>F20/C20*100</f>
        <v>131.56132212599218</v>
      </c>
      <c r="H20" s="52">
        <f>F20/E20*100</f>
        <v>20.33907604462674</v>
      </c>
    </row>
    <row r="21" spans="1:8" ht="18" customHeight="1">
      <c r="A21" s="95" t="s">
        <v>839</v>
      </c>
      <c r="B21" s="96" t="s">
        <v>840</v>
      </c>
      <c r="C21" s="118">
        <f>67000/7.5345</f>
        <v>8892.428163779945</v>
      </c>
      <c r="D21" s="20">
        <v>831000</v>
      </c>
      <c r="E21" s="20">
        <v>831000</v>
      </c>
      <c r="F21" s="118">
        <v>10382.29</v>
      </c>
      <c r="G21" s="52">
        <f aca="true" t="shared" si="2" ref="G21:G28">F21/C21*100</f>
        <v>116.75427463432837</v>
      </c>
      <c r="H21" s="52">
        <f aca="true" t="shared" si="3" ref="H21:H28">F21/E21*100</f>
        <v>1.2493730445246691</v>
      </c>
    </row>
    <row r="22" spans="1:8" ht="18" customHeight="1">
      <c r="A22" s="95" t="s">
        <v>841</v>
      </c>
      <c r="B22" s="96" t="s">
        <v>842</v>
      </c>
      <c r="C22" s="118">
        <v>0</v>
      </c>
      <c r="D22" s="20">
        <v>0</v>
      </c>
      <c r="E22" s="20">
        <v>0</v>
      </c>
      <c r="F22" s="118">
        <v>0</v>
      </c>
      <c r="G22" s="52" t="e">
        <f>F22/C22*100</f>
        <v>#DIV/0!</v>
      </c>
      <c r="H22" s="52" t="e">
        <f>F22/E22*100</f>
        <v>#DIV/0!</v>
      </c>
    </row>
    <row r="23" spans="1:8" ht="18" customHeight="1">
      <c r="A23" s="95" t="s">
        <v>843</v>
      </c>
      <c r="B23" s="96" t="s">
        <v>844</v>
      </c>
      <c r="C23" s="118">
        <f>1613571.51/7.5345</f>
        <v>214157.74238502886</v>
      </c>
      <c r="D23" s="20">
        <v>332000</v>
      </c>
      <c r="E23" s="20">
        <v>332000</v>
      </c>
      <c r="F23" s="118">
        <v>108666.32</v>
      </c>
      <c r="G23" s="52">
        <f>F23/C23*100</f>
        <v>50.74125212089299</v>
      </c>
      <c r="H23" s="52">
        <f>F23/E23*100</f>
        <v>32.73081927710844</v>
      </c>
    </row>
    <row r="24" spans="1:8" ht="18" customHeight="1">
      <c r="A24" s="95" t="s">
        <v>845</v>
      </c>
      <c r="B24" s="96" t="s">
        <v>846</v>
      </c>
      <c r="C24" s="118">
        <f>2701315.87/7.5345</f>
        <v>358526.2286813989</v>
      </c>
      <c r="D24" s="20">
        <v>2598870</v>
      </c>
      <c r="E24" s="20">
        <v>2598870</v>
      </c>
      <c r="F24" s="118">
        <v>646080.99</v>
      </c>
      <c r="G24" s="52">
        <f t="shared" si="2"/>
        <v>180.20466518619313</v>
      </c>
      <c r="H24" s="52">
        <f t="shared" si="3"/>
        <v>24.860073416523335</v>
      </c>
    </row>
    <row r="25" spans="1:8" ht="18" customHeight="1">
      <c r="A25" s="97" t="s">
        <v>847</v>
      </c>
      <c r="B25" s="98" t="s">
        <v>848</v>
      </c>
      <c r="C25" s="120">
        <f>SUM(C26:C26)</f>
        <v>38887.78286548543</v>
      </c>
      <c r="D25" s="91">
        <f>SUM(D26:D26)</f>
        <v>100000</v>
      </c>
      <c r="E25" s="91">
        <f>SUM(E26:E26)</f>
        <v>100000</v>
      </c>
      <c r="F25" s="120">
        <f>SUM(F26:F26)</f>
        <v>45750</v>
      </c>
      <c r="G25" s="52">
        <f t="shared" si="2"/>
        <v>117.64620307167237</v>
      </c>
      <c r="H25" s="52">
        <f t="shared" si="3"/>
        <v>45.75</v>
      </c>
    </row>
    <row r="26" spans="1:8" ht="18" customHeight="1">
      <c r="A26" s="95" t="s">
        <v>849</v>
      </c>
      <c r="B26" s="96" t="s">
        <v>850</v>
      </c>
      <c r="C26" s="118">
        <f>293000/7.5345</f>
        <v>38887.78286548543</v>
      </c>
      <c r="D26" s="20">
        <v>100000</v>
      </c>
      <c r="E26" s="20">
        <v>100000</v>
      </c>
      <c r="F26" s="118">
        <v>45750</v>
      </c>
      <c r="G26" s="52">
        <f t="shared" si="2"/>
        <v>117.64620307167237</v>
      </c>
      <c r="H26" s="52">
        <f t="shared" si="3"/>
        <v>45.75</v>
      </c>
    </row>
    <row r="27" spans="1:8" ht="18" customHeight="1">
      <c r="A27" s="97" t="s">
        <v>851</v>
      </c>
      <c r="B27" s="98" t="s">
        <v>852</v>
      </c>
      <c r="C27" s="120">
        <f>SUM(C28:C30)</f>
        <v>245501.2210498374</v>
      </c>
      <c r="D27" s="91">
        <f>SUM(D28:D30)</f>
        <v>2027611</v>
      </c>
      <c r="E27" s="91">
        <f>SUM(E28:E30)</f>
        <v>2027611</v>
      </c>
      <c r="F27" s="120">
        <f>SUM(F28:F30)</f>
        <v>298473.69999999995</v>
      </c>
      <c r="G27" s="52">
        <f t="shared" si="2"/>
        <v>121.57727718161084</v>
      </c>
      <c r="H27" s="52">
        <f t="shared" si="3"/>
        <v>14.720461666463633</v>
      </c>
    </row>
    <row r="28" spans="1:8" ht="18" customHeight="1">
      <c r="A28" s="95" t="s">
        <v>875</v>
      </c>
      <c r="B28" s="96" t="s">
        <v>876</v>
      </c>
      <c r="C28" s="118">
        <f>701906.82/7.5345</f>
        <v>93159.0443957794</v>
      </c>
      <c r="D28" s="20">
        <v>431000</v>
      </c>
      <c r="E28" s="20">
        <v>431000</v>
      </c>
      <c r="F28" s="118">
        <v>146349.49</v>
      </c>
      <c r="G28" s="52">
        <f t="shared" si="2"/>
        <v>157.09638387685135</v>
      </c>
      <c r="H28" s="52">
        <f t="shared" si="3"/>
        <v>33.95579814385151</v>
      </c>
    </row>
    <row r="29" spans="1:8" ht="18" customHeight="1">
      <c r="A29" s="95" t="s">
        <v>853</v>
      </c>
      <c r="B29" s="96" t="s">
        <v>854</v>
      </c>
      <c r="C29" s="118">
        <f>1099384.63/7.5345</f>
        <v>145913.41562147453</v>
      </c>
      <c r="D29" s="20">
        <v>1571611</v>
      </c>
      <c r="E29" s="20">
        <v>1571611</v>
      </c>
      <c r="F29" s="118">
        <f>149907.5+2216.71</f>
        <v>152124.21</v>
      </c>
      <c r="G29" s="52">
        <f aca="true" t="shared" si="4" ref="G29:G35">F29/C29*100</f>
        <v>104.2564930387466</v>
      </c>
      <c r="H29" s="52">
        <f aca="true" t="shared" si="5" ref="H29:H35">F29/E29*100</f>
        <v>9.679507842589546</v>
      </c>
    </row>
    <row r="30" spans="1:8" ht="18" customHeight="1">
      <c r="A30" s="95" t="s">
        <v>855</v>
      </c>
      <c r="B30" s="96" t="s">
        <v>856</v>
      </c>
      <c r="C30" s="118">
        <f>48437.5/7.5345</f>
        <v>6428.761032583449</v>
      </c>
      <c r="D30" s="20">
        <v>25000</v>
      </c>
      <c r="E30" s="20">
        <v>25000</v>
      </c>
      <c r="F30" s="118">
        <v>0</v>
      </c>
      <c r="G30" s="52">
        <f t="shared" si="4"/>
        <v>0</v>
      </c>
      <c r="H30" s="52">
        <f t="shared" si="5"/>
        <v>0</v>
      </c>
    </row>
    <row r="31" spans="1:8" ht="18" customHeight="1">
      <c r="A31" s="97" t="s">
        <v>857</v>
      </c>
      <c r="B31" s="98" t="s">
        <v>858</v>
      </c>
      <c r="C31" s="120">
        <f>SUM(C32:C34)</f>
        <v>377052.0127413896</v>
      </c>
      <c r="D31" s="91">
        <f>SUM(D32:D34)</f>
        <v>1040484</v>
      </c>
      <c r="E31" s="91">
        <f>SUM(E32:E34)</f>
        <v>1040484</v>
      </c>
      <c r="F31" s="120">
        <f>SUM(F32:F34)</f>
        <v>426721.62000000005</v>
      </c>
      <c r="G31" s="52">
        <f>F31/C31*100</f>
        <v>113.17314470687563</v>
      </c>
      <c r="H31" s="52">
        <f>F31/E31*100</f>
        <v>41.011838721210516</v>
      </c>
    </row>
    <row r="32" spans="1:8" ht="18" customHeight="1">
      <c r="A32" s="95" t="s">
        <v>859</v>
      </c>
      <c r="B32" s="96" t="s">
        <v>860</v>
      </c>
      <c r="C32" s="118">
        <f>2810898.39/7.5345</f>
        <v>373070.32848895085</v>
      </c>
      <c r="D32" s="20">
        <v>1022484</v>
      </c>
      <c r="E32" s="20">
        <v>1022484</v>
      </c>
      <c r="F32" s="118">
        <f>314887.94+108068.34</f>
        <v>422956.28</v>
      </c>
      <c r="G32" s="52">
        <f>F32/C32*100</f>
        <v>113.37172851915149</v>
      </c>
      <c r="H32" s="52">
        <f>F32/E32*100</f>
        <v>41.36556464453234</v>
      </c>
    </row>
    <row r="33" spans="1:8" ht="18" customHeight="1">
      <c r="A33" s="95" t="s">
        <v>861</v>
      </c>
      <c r="B33" s="96" t="s">
        <v>862</v>
      </c>
      <c r="C33" s="118">
        <f>30000/7.5345</f>
        <v>3981.684252438781</v>
      </c>
      <c r="D33" s="20">
        <v>18000</v>
      </c>
      <c r="E33" s="20">
        <v>18000</v>
      </c>
      <c r="F33" s="118">
        <v>3765.34</v>
      </c>
      <c r="G33" s="52">
        <f>F33/C33*100</f>
        <v>94.5665141</v>
      </c>
      <c r="H33" s="52">
        <f>F33/E33*100</f>
        <v>20.918555555555557</v>
      </c>
    </row>
    <row r="34" spans="1:8" ht="18" customHeight="1">
      <c r="A34" s="95" t="s">
        <v>923</v>
      </c>
      <c r="B34" s="96" t="s">
        <v>924</v>
      </c>
      <c r="C34" s="118">
        <v>0</v>
      </c>
      <c r="D34" s="20">
        <v>0</v>
      </c>
      <c r="E34" s="20">
        <v>0</v>
      </c>
      <c r="F34" s="118">
        <v>0</v>
      </c>
      <c r="G34" s="52" t="e">
        <f>F34/C34*100</f>
        <v>#DIV/0!</v>
      </c>
      <c r="H34" s="52" t="e">
        <f>F34/E34*100</f>
        <v>#DIV/0!</v>
      </c>
    </row>
    <row r="35" spans="1:8" ht="18" customHeight="1">
      <c r="A35" s="97" t="s">
        <v>863</v>
      </c>
      <c r="B35" s="98" t="s">
        <v>864</v>
      </c>
      <c r="C35" s="120">
        <f>SUM(C36:C41)</f>
        <v>63790.536863760026</v>
      </c>
      <c r="D35" s="91">
        <f>SUM(D36:D41)</f>
        <v>295100</v>
      </c>
      <c r="E35" s="91">
        <f>SUM(E36:E41)</f>
        <v>295100</v>
      </c>
      <c r="F35" s="120">
        <f>SUM(F36:F41)</f>
        <v>131246.03</v>
      </c>
      <c r="G35" s="52">
        <f t="shared" si="4"/>
        <v>205.74529773954927</v>
      </c>
      <c r="H35" s="52">
        <f t="shared" si="5"/>
        <v>44.47510335479499</v>
      </c>
    </row>
    <row r="36" spans="1:8" ht="18" customHeight="1">
      <c r="A36" s="95" t="s">
        <v>865</v>
      </c>
      <c r="B36" s="96" t="s">
        <v>866</v>
      </c>
      <c r="C36" s="118">
        <f>20000/7.5345</f>
        <v>2654.456168292521</v>
      </c>
      <c r="D36" s="20">
        <v>14000</v>
      </c>
      <c r="E36" s="20">
        <v>14000</v>
      </c>
      <c r="F36" s="118">
        <v>0</v>
      </c>
      <c r="G36" s="52">
        <f aca="true" t="shared" si="6" ref="G36:G41">F36/C36*100</f>
        <v>0</v>
      </c>
      <c r="H36" s="52">
        <f aca="true" t="shared" si="7" ref="H36:H41">F36/E36*100</f>
        <v>0</v>
      </c>
    </row>
    <row r="37" spans="1:8" ht="18" customHeight="1">
      <c r="A37" s="95" t="s">
        <v>879</v>
      </c>
      <c r="B37" s="96" t="s">
        <v>880</v>
      </c>
      <c r="C37" s="118">
        <v>0</v>
      </c>
      <c r="D37" s="20">
        <v>0</v>
      </c>
      <c r="E37" s="20">
        <v>0</v>
      </c>
      <c r="F37" s="118">
        <v>0</v>
      </c>
      <c r="G37" s="52" t="e">
        <f t="shared" si="6"/>
        <v>#DIV/0!</v>
      </c>
      <c r="H37" s="52" t="e">
        <f t="shared" si="7"/>
        <v>#DIV/0!</v>
      </c>
    </row>
    <row r="38" spans="1:8" ht="18" customHeight="1">
      <c r="A38" s="95" t="s">
        <v>867</v>
      </c>
      <c r="B38" s="96" t="s">
        <v>868</v>
      </c>
      <c r="C38" s="118">
        <f>140800/7.5345</f>
        <v>18687.371424779347</v>
      </c>
      <c r="D38" s="20">
        <v>126100</v>
      </c>
      <c r="E38" s="20">
        <v>126100</v>
      </c>
      <c r="F38" s="118">
        <v>71939</v>
      </c>
      <c r="G38" s="52">
        <f t="shared" si="6"/>
        <v>384.9605081676136</v>
      </c>
      <c r="H38" s="52">
        <f t="shared" si="7"/>
        <v>57.04916732751785</v>
      </c>
    </row>
    <row r="39" spans="1:8" ht="18" customHeight="1">
      <c r="A39" s="95" t="s">
        <v>869</v>
      </c>
      <c r="B39" s="96" t="s">
        <v>870</v>
      </c>
      <c r="C39" s="118">
        <v>0</v>
      </c>
      <c r="D39" s="20">
        <v>2000</v>
      </c>
      <c r="E39" s="20">
        <v>2000</v>
      </c>
      <c r="F39" s="118">
        <v>0</v>
      </c>
      <c r="G39" s="52" t="e">
        <f t="shared" si="6"/>
        <v>#DIV/0!</v>
      </c>
      <c r="H39" s="52">
        <f t="shared" si="7"/>
        <v>0</v>
      </c>
    </row>
    <row r="40" spans="1:8" ht="18" customHeight="1">
      <c r="A40" s="95" t="s">
        <v>871</v>
      </c>
      <c r="B40" s="96" t="s">
        <v>872</v>
      </c>
      <c r="C40" s="118">
        <f>222900.02/7.5345</f>
        <v>29583.916650076313</v>
      </c>
      <c r="D40" s="20">
        <v>119000</v>
      </c>
      <c r="E40" s="20">
        <v>119000</v>
      </c>
      <c r="F40" s="118">
        <v>38165.43</v>
      </c>
      <c r="G40" s="52">
        <f t="shared" si="6"/>
        <v>129.00736049059128</v>
      </c>
      <c r="H40" s="52">
        <f t="shared" si="7"/>
        <v>32.071789915966384</v>
      </c>
    </row>
    <row r="41" spans="1:8" ht="18" customHeight="1">
      <c r="A41" s="95" t="s">
        <v>873</v>
      </c>
      <c r="B41" s="96" t="s">
        <v>874</v>
      </c>
      <c r="C41" s="118">
        <f>96929.78/7.5345</f>
        <v>12864.792620611852</v>
      </c>
      <c r="D41" s="20">
        <v>34000</v>
      </c>
      <c r="E41" s="20">
        <v>34000</v>
      </c>
      <c r="F41" s="118">
        <v>21141.6</v>
      </c>
      <c r="G41" s="52">
        <f t="shared" si="6"/>
        <v>164.33688924085044</v>
      </c>
      <c r="H41" s="52">
        <f t="shared" si="7"/>
        <v>62.18117647058823</v>
      </c>
    </row>
    <row r="42" spans="1:8" ht="30" customHeight="1">
      <c r="A42" s="204" t="s">
        <v>808</v>
      </c>
      <c r="B42" s="205"/>
      <c r="C42" s="116">
        <f>C5+C9+C13+C17+C20+C25+C27+C31+C35-0.01</f>
        <v>2267280.1559035107</v>
      </c>
      <c r="D42" s="21">
        <f>D5+D9+D13+D17+D20+D25+D27+D31+D35</f>
        <v>10988335</v>
      </c>
      <c r="E42" s="21">
        <f>E5+E9+E13+E17+E20+E25+E27+E31+E35</f>
        <v>10988335</v>
      </c>
      <c r="F42" s="116">
        <f>F5+F9+F13+F17+F20+F25+F27+F31+F35</f>
        <v>2647899.92</v>
      </c>
      <c r="G42" s="54">
        <f>F42/C42*100</f>
        <v>116.78750476007285</v>
      </c>
      <c r="H42" s="54">
        <f>F42/E42*100</f>
        <v>24.097371621815316</v>
      </c>
    </row>
    <row r="43" ht="99" customHeight="1"/>
    <row r="44" ht="54" customHeight="1"/>
    <row r="45" ht="72.75" customHeight="1"/>
    <row r="46" ht="95.25" customHeight="1"/>
    <row r="47" ht="25.5" customHeight="1"/>
  </sheetData>
  <sheetProtection/>
  <mergeCells count="2">
    <mergeCell ref="G2:H2"/>
    <mergeCell ref="A42:B42"/>
  </mergeCells>
  <printOptions/>
  <pageMargins left="0.7480314960629921" right="0.3937007874015748" top="0.7480314960629921" bottom="0.5905511811023623" header="0.5118110236220472" footer="0.31496062992125984"/>
  <pageSetup horizontalDpi="180" verticalDpi="180" orientation="portrait" paperSize="9" r:id="rId1"/>
  <headerFooter alignWithMargins="0">
    <oddFooter>&amp;C&amp;"Arial,Kurziv"&amp;7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="140" zoomScaleNormal="140" workbookViewId="0" topLeftCell="A1">
      <selection activeCell="G3" sqref="G3"/>
    </sheetView>
  </sheetViews>
  <sheetFormatPr defaultColWidth="9.140625" defaultRowHeight="12.75"/>
  <cols>
    <col min="1" max="1" width="9.00390625" style="2" customWidth="1"/>
    <col min="2" max="2" width="52.57421875" style="2" customWidth="1"/>
    <col min="3" max="3" width="10.7109375" style="145" customWidth="1"/>
    <col min="4" max="5" width="10.7109375" style="2" customWidth="1"/>
    <col min="6" max="6" width="12.00390625" style="2" customWidth="1"/>
    <col min="7" max="8" width="6.7109375" style="48" customWidth="1"/>
    <col min="9" max="16384" width="9.140625" style="2" customWidth="1"/>
  </cols>
  <sheetData>
    <row r="1" spans="1:2" ht="37.5" customHeight="1">
      <c r="A1" s="102" t="s">
        <v>895</v>
      </c>
      <c r="B1" s="12"/>
    </row>
    <row r="2" spans="3:8" ht="57.75" customHeight="1">
      <c r="C2" s="148"/>
      <c r="D2" s="8"/>
      <c r="E2" s="8"/>
      <c r="F2" s="8"/>
      <c r="G2" s="177" t="s">
        <v>1441</v>
      </c>
      <c r="H2" s="177"/>
    </row>
    <row r="3" spans="1:8" ht="27" customHeight="1">
      <c r="A3" s="90" t="s">
        <v>790</v>
      </c>
      <c r="B3" s="90" t="s">
        <v>882</v>
      </c>
      <c r="C3" s="149" t="s">
        <v>1353</v>
      </c>
      <c r="D3" s="46" t="s">
        <v>1387</v>
      </c>
      <c r="E3" s="46" t="s">
        <v>1388</v>
      </c>
      <c r="F3" s="46" t="s">
        <v>1402</v>
      </c>
      <c r="G3" s="53" t="s">
        <v>793</v>
      </c>
      <c r="H3" s="53" t="s">
        <v>794</v>
      </c>
    </row>
    <row r="4" spans="1:8" ht="11.25" customHeight="1">
      <c r="A4" s="94">
        <v>1</v>
      </c>
      <c r="B4" s="94">
        <v>2</v>
      </c>
      <c r="C4" s="150">
        <v>3</v>
      </c>
      <c r="D4" s="53">
        <v>4</v>
      </c>
      <c r="E4" s="53">
        <v>5</v>
      </c>
      <c r="F4" s="53">
        <v>6</v>
      </c>
      <c r="G4" s="53">
        <v>7</v>
      </c>
      <c r="H4" s="53">
        <v>8</v>
      </c>
    </row>
    <row r="5" spans="1:8" ht="24.75" customHeight="1">
      <c r="A5" s="103" t="s">
        <v>550</v>
      </c>
      <c r="B5" s="104" t="s">
        <v>742</v>
      </c>
      <c r="C5" s="105">
        <f>C6+C9</f>
        <v>67547.14712323312</v>
      </c>
      <c r="D5" s="89">
        <f>D6+D9</f>
        <v>0</v>
      </c>
      <c r="E5" s="89">
        <f>E6+E9</f>
        <v>0</v>
      </c>
      <c r="F5" s="105">
        <f>F6+F9</f>
        <v>0</v>
      </c>
      <c r="G5" s="105">
        <f>F5/C5*100</f>
        <v>0</v>
      </c>
      <c r="H5" s="105" t="e">
        <f>F5/E5*100</f>
        <v>#DIV/0!</v>
      </c>
    </row>
    <row r="6" spans="1:8" ht="21" customHeight="1">
      <c r="A6" s="106" t="s">
        <v>1127</v>
      </c>
      <c r="B6" s="107" t="s">
        <v>1186</v>
      </c>
      <c r="C6" s="132">
        <f aca="true" t="shared" si="0" ref="C6:F7">SUM(C7)</f>
        <v>0</v>
      </c>
      <c r="D6" s="5">
        <f t="shared" si="0"/>
        <v>0</v>
      </c>
      <c r="E6" s="5">
        <f t="shared" si="0"/>
        <v>0</v>
      </c>
      <c r="F6" s="132">
        <f t="shared" si="0"/>
        <v>0</v>
      </c>
      <c r="G6" s="14" t="e">
        <f>F6/C6*100</f>
        <v>#DIV/0!</v>
      </c>
      <c r="H6" s="14" t="e">
        <f>F6/E6*100</f>
        <v>#DIV/0!</v>
      </c>
    </row>
    <row r="7" spans="1:8" ht="23.25" customHeight="1">
      <c r="A7" s="106" t="s">
        <v>1129</v>
      </c>
      <c r="B7" s="142" t="s">
        <v>1187</v>
      </c>
      <c r="C7" s="132">
        <f t="shared" si="0"/>
        <v>0</v>
      </c>
      <c r="D7" s="5">
        <f t="shared" si="0"/>
        <v>0</v>
      </c>
      <c r="E7" s="5">
        <f t="shared" si="0"/>
        <v>0</v>
      </c>
      <c r="F7" s="132">
        <f t="shared" si="0"/>
        <v>0</v>
      </c>
      <c r="G7" s="14" t="e">
        <f>F7/C7*100</f>
        <v>#DIV/0!</v>
      </c>
      <c r="H7" s="14" t="e">
        <f>F7/E7*100</f>
        <v>#DIV/0!</v>
      </c>
    </row>
    <row r="8" spans="1:8" ht="15" customHeight="1">
      <c r="A8" s="39" t="s">
        <v>1131</v>
      </c>
      <c r="B8" s="66" t="s">
        <v>1132</v>
      </c>
      <c r="C8" s="14">
        <v>0</v>
      </c>
      <c r="D8" s="4">
        <v>0</v>
      </c>
      <c r="E8" s="4">
        <v>0</v>
      </c>
      <c r="F8" s="14">
        <v>0</v>
      </c>
      <c r="G8" s="14" t="e">
        <f>F8/C8*100</f>
        <v>#DIV/0!</v>
      </c>
      <c r="H8" s="14" t="e">
        <f aca="true" t="shared" si="1" ref="H8:H15">F8/E8*100</f>
        <v>#DIV/0!</v>
      </c>
    </row>
    <row r="9" spans="1:8" ht="21" customHeight="1">
      <c r="A9" s="106" t="s">
        <v>1133</v>
      </c>
      <c r="B9" s="107" t="s">
        <v>1183</v>
      </c>
      <c r="C9" s="132">
        <f>SUM(C12+C10)</f>
        <v>67547.14712323312</v>
      </c>
      <c r="D9" s="5">
        <f>D10+D12</f>
        <v>0</v>
      </c>
      <c r="E9" s="5">
        <f>E10+E12</f>
        <v>0</v>
      </c>
      <c r="F9" s="132">
        <f>F10+F12</f>
        <v>0</v>
      </c>
      <c r="G9" s="14">
        <f aca="true" t="shared" si="2" ref="G9:G15">F9/C9*100</f>
        <v>0</v>
      </c>
      <c r="H9" s="14" t="e">
        <f>F9/E9*100</f>
        <v>#DIV/0!</v>
      </c>
    </row>
    <row r="10" spans="1:8" ht="27.75" customHeight="1">
      <c r="A10" s="106" t="s">
        <v>1135</v>
      </c>
      <c r="B10" s="142" t="s">
        <v>1188</v>
      </c>
      <c r="C10" s="132">
        <f>SUM(C11:C13)</f>
        <v>67547.14712323312</v>
      </c>
      <c r="D10" s="5">
        <f>D11</f>
        <v>0</v>
      </c>
      <c r="E10" s="5">
        <f>E11</f>
        <v>0</v>
      </c>
      <c r="F10" s="132">
        <f>F11</f>
        <v>0</v>
      </c>
      <c r="G10" s="14">
        <f t="shared" si="2"/>
        <v>0</v>
      </c>
      <c r="H10" s="14" t="e">
        <f t="shared" si="1"/>
        <v>#DIV/0!</v>
      </c>
    </row>
    <row r="11" spans="1:8" ht="15" customHeight="1">
      <c r="A11" s="39" t="s">
        <v>1137</v>
      </c>
      <c r="B11" s="66" t="s">
        <v>1138</v>
      </c>
      <c r="C11" s="14">
        <f>508933.98/7.5345</f>
        <v>67547.14712323312</v>
      </c>
      <c r="D11" s="4">
        <v>0</v>
      </c>
      <c r="E11" s="4">
        <v>0</v>
      </c>
      <c r="F11" s="14">
        <v>0</v>
      </c>
      <c r="G11" s="14">
        <f t="shared" si="2"/>
        <v>0</v>
      </c>
      <c r="H11" s="14" t="e">
        <f t="shared" si="1"/>
        <v>#DIV/0!</v>
      </c>
    </row>
    <row r="12" spans="1:8" ht="18" customHeight="1">
      <c r="A12" s="106" t="s">
        <v>1139</v>
      </c>
      <c r="B12" s="107" t="s">
        <v>1184</v>
      </c>
      <c r="C12" s="132">
        <f>SUM(C13:C15)</f>
        <v>0</v>
      </c>
      <c r="D12" s="5">
        <f>SUM(D13:D15)</f>
        <v>0</v>
      </c>
      <c r="E12" s="5">
        <f>SUM(E13:E15)</f>
        <v>0</v>
      </c>
      <c r="F12" s="132">
        <f>SUM(F13:F15)</f>
        <v>0</v>
      </c>
      <c r="G12" s="14" t="e">
        <f t="shared" si="2"/>
        <v>#DIV/0!</v>
      </c>
      <c r="H12" s="14" t="e">
        <f t="shared" si="1"/>
        <v>#DIV/0!</v>
      </c>
    </row>
    <row r="13" spans="1:8" ht="15" customHeight="1">
      <c r="A13" s="39" t="s">
        <v>1141</v>
      </c>
      <c r="B13" s="66" t="s">
        <v>1142</v>
      </c>
      <c r="C13" s="14">
        <v>0</v>
      </c>
      <c r="D13" s="4">
        <v>0</v>
      </c>
      <c r="E13" s="4">
        <v>0</v>
      </c>
      <c r="F13" s="14">
        <v>0</v>
      </c>
      <c r="G13" s="14" t="e">
        <f t="shared" si="2"/>
        <v>#DIV/0!</v>
      </c>
      <c r="H13" s="14" t="e">
        <f t="shared" si="1"/>
        <v>#DIV/0!</v>
      </c>
    </row>
    <row r="14" spans="1:8" ht="15" customHeight="1">
      <c r="A14" s="39" t="s">
        <v>1162</v>
      </c>
      <c r="B14" s="66" t="s">
        <v>1185</v>
      </c>
      <c r="C14" s="14">
        <v>0</v>
      </c>
      <c r="D14" s="4">
        <v>0</v>
      </c>
      <c r="E14" s="4">
        <v>0</v>
      </c>
      <c r="F14" s="14">
        <v>0</v>
      </c>
      <c r="G14" s="14" t="e">
        <f t="shared" si="2"/>
        <v>#DIV/0!</v>
      </c>
      <c r="H14" s="14" t="e">
        <f t="shared" si="1"/>
        <v>#DIV/0!</v>
      </c>
    </row>
    <row r="15" spans="1:8" ht="15" customHeight="1">
      <c r="A15" s="39" t="s">
        <v>1163</v>
      </c>
      <c r="B15" s="66" t="s">
        <v>1165</v>
      </c>
      <c r="C15" s="14">
        <v>0</v>
      </c>
      <c r="D15" s="4">
        <v>0</v>
      </c>
      <c r="E15" s="4">
        <v>0</v>
      </c>
      <c r="F15" s="14">
        <v>0</v>
      </c>
      <c r="G15" s="14" t="e">
        <f t="shared" si="2"/>
        <v>#DIV/0!</v>
      </c>
      <c r="H15" s="14" t="e">
        <f t="shared" si="1"/>
        <v>#DIV/0!</v>
      </c>
    </row>
    <row r="16" spans="1:8" ht="25.5" customHeight="1">
      <c r="A16" s="103" t="s">
        <v>517</v>
      </c>
      <c r="B16" s="104" t="s">
        <v>280</v>
      </c>
      <c r="C16" s="105">
        <f>C20+C17</f>
        <v>0</v>
      </c>
      <c r="D16" s="105">
        <f>D20+D17</f>
        <v>689565</v>
      </c>
      <c r="E16" s="105">
        <f>E20+E17</f>
        <v>689565</v>
      </c>
      <c r="F16" s="105">
        <f>F20+F17</f>
        <v>18899.4</v>
      </c>
      <c r="G16" s="105" t="e">
        <f aca="true" t="shared" si="3" ref="G16:G25">F16/C16*100</f>
        <v>#DIV/0!</v>
      </c>
      <c r="H16" s="105">
        <f aca="true" t="shared" si="4" ref="H16:H25">F16/E16*100</f>
        <v>2.740771355854778</v>
      </c>
    </row>
    <row r="17" spans="1:8" ht="21" customHeight="1">
      <c r="A17" s="106" t="s">
        <v>1307</v>
      </c>
      <c r="B17" s="107" t="s">
        <v>1328</v>
      </c>
      <c r="C17" s="132">
        <f>C18</f>
        <v>0</v>
      </c>
      <c r="D17" s="5">
        <f>D18</f>
        <v>0</v>
      </c>
      <c r="E17" s="5">
        <f>E18</f>
        <v>0</v>
      </c>
      <c r="F17" s="132">
        <f>F18</f>
        <v>0</v>
      </c>
      <c r="G17" s="14" t="e">
        <f t="shared" si="3"/>
        <v>#DIV/0!</v>
      </c>
      <c r="H17" s="14" t="e">
        <f t="shared" si="4"/>
        <v>#DIV/0!</v>
      </c>
    </row>
    <row r="18" spans="1:8" ht="24" customHeight="1">
      <c r="A18" s="106" t="s">
        <v>1308</v>
      </c>
      <c r="B18" s="142" t="s">
        <v>1331</v>
      </c>
      <c r="C18" s="132">
        <f>SUM(C19)</f>
        <v>0</v>
      </c>
      <c r="D18" s="5">
        <f>SUM(D19)</f>
        <v>0</v>
      </c>
      <c r="E18" s="5">
        <f>SUM(E19)</f>
        <v>0</v>
      </c>
      <c r="F18" s="132">
        <f>SUM(F19)</f>
        <v>0</v>
      </c>
      <c r="G18" s="14" t="e">
        <f t="shared" si="3"/>
        <v>#DIV/0!</v>
      </c>
      <c r="H18" s="14" t="e">
        <f t="shared" si="4"/>
        <v>#DIV/0!</v>
      </c>
    </row>
    <row r="19" spans="1:8" ht="15" customHeight="1">
      <c r="A19" s="39" t="s">
        <v>1310</v>
      </c>
      <c r="B19" s="96" t="s">
        <v>1330</v>
      </c>
      <c r="C19" s="14">
        <v>0</v>
      </c>
      <c r="D19" s="4">
        <v>0</v>
      </c>
      <c r="E19" s="4">
        <v>0</v>
      </c>
      <c r="F19" s="14">
        <v>0</v>
      </c>
      <c r="G19" s="14" t="e">
        <f t="shared" si="3"/>
        <v>#DIV/0!</v>
      </c>
      <c r="H19" s="14" t="e">
        <f t="shared" si="4"/>
        <v>#DIV/0!</v>
      </c>
    </row>
    <row r="20" spans="1:8" ht="24.75" customHeight="1">
      <c r="A20" s="106" t="s">
        <v>1178</v>
      </c>
      <c r="B20" s="142" t="s">
        <v>1327</v>
      </c>
      <c r="C20" s="132">
        <f>C21+C23</f>
        <v>0</v>
      </c>
      <c r="D20" s="5">
        <v>689565</v>
      </c>
      <c r="E20" s="5">
        <v>689565</v>
      </c>
      <c r="F20" s="5">
        <f>F21+F23</f>
        <v>18899.4</v>
      </c>
      <c r="G20" s="14" t="e">
        <f t="shared" si="3"/>
        <v>#DIV/0!</v>
      </c>
      <c r="H20" s="14">
        <f t="shared" si="4"/>
        <v>2.740771355854778</v>
      </c>
    </row>
    <row r="21" spans="1:8" ht="24" customHeight="1">
      <c r="A21" s="106" t="s">
        <v>1179</v>
      </c>
      <c r="B21" s="142" t="s">
        <v>1182</v>
      </c>
      <c r="C21" s="132">
        <f>SUM(C22)</f>
        <v>0</v>
      </c>
      <c r="D21" s="5">
        <f>SUM(D22)</f>
        <v>0</v>
      </c>
      <c r="E21" s="5">
        <f>SUM(E22)</f>
        <v>0</v>
      </c>
      <c r="F21" s="132">
        <f>SUM(F22)</f>
        <v>18899.4</v>
      </c>
      <c r="G21" s="14" t="e">
        <f t="shared" si="3"/>
        <v>#DIV/0!</v>
      </c>
      <c r="H21" s="14" t="e">
        <f t="shared" si="4"/>
        <v>#DIV/0!</v>
      </c>
    </row>
    <row r="22" spans="1:8" ht="15" customHeight="1">
      <c r="A22" s="39" t="s">
        <v>1180</v>
      </c>
      <c r="B22" s="96" t="s">
        <v>1181</v>
      </c>
      <c r="C22" s="14">
        <v>0</v>
      </c>
      <c r="D22" s="4">
        <v>0</v>
      </c>
      <c r="E22" s="4">
        <v>0</v>
      </c>
      <c r="F22" s="14">
        <v>18899.4</v>
      </c>
      <c r="G22" s="14" t="e">
        <f t="shared" si="3"/>
        <v>#DIV/0!</v>
      </c>
      <c r="H22" s="14" t="e">
        <f t="shared" si="4"/>
        <v>#DIV/0!</v>
      </c>
    </row>
    <row r="23" spans="1:8" ht="24" customHeight="1">
      <c r="A23" s="106" t="s">
        <v>1315</v>
      </c>
      <c r="B23" s="142" t="s">
        <v>1325</v>
      </c>
      <c r="C23" s="132">
        <f>SUM(C24)</f>
        <v>0</v>
      </c>
      <c r="D23" s="5">
        <f>SUM(D24)</f>
        <v>0</v>
      </c>
      <c r="E23" s="5">
        <f>SUM(E24)</f>
        <v>0</v>
      </c>
      <c r="F23" s="132">
        <f>SUM(F24)</f>
        <v>0</v>
      </c>
      <c r="G23" s="14" t="e">
        <f t="shared" si="3"/>
        <v>#DIV/0!</v>
      </c>
      <c r="H23" s="14" t="e">
        <f t="shared" si="4"/>
        <v>#DIV/0!</v>
      </c>
    </row>
    <row r="24" spans="1:8" ht="15" customHeight="1">
      <c r="A24" s="39" t="s">
        <v>1317</v>
      </c>
      <c r="B24" s="96" t="s">
        <v>1326</v>
      </c>
      <c r="C24" s="14">
        <v>0</v>
      </c>
      <c r="D24" s="4">
        <v>0</v>
      </c>
      <c r="E24" s="4">
        <v>0</v>
      </c>
      <c r="F24" s="14">
        <v>0</v>
      </c>
      <c r="G24" s="14" t="e">
        <f t="shared" si="3"/>
        <v>#DIV/0!</v>
      </c>
      <c r="H24" s="14" t="e">
        <f t="shared" si="4"/>
        <v>#DIV/0!</v>
      </c>
    </row>
    <row r="25" spans="1:8" ht="25.5" customHeight="1">
      <c r="A25" s="3"/>
      <c r="B25" s="104" t="s">
        <v>791</v>
      </c>
      <c r="C25" s="116">
        <f>C5-C16</f>
        <v>67547.14712323312</v>
      </c>
      <c r="D25" s="89">
        <f>D5-D16</f>
        <v>-689565</v>
      </c>
      <c r="E25" s="89">
        <f>E5-E16</f>
        <v>-689565</v>
      </c>
      <c r="F25" s="105">
        <f>F5-F16</f>
        <v>-18899.4</v>
      </c>
      <c r="G25" s="105">
        <f t="shared" si="3"/>
        <v>-27.979568057137786</v>
      </c>
      <c r="H25" s="105">
        <f t="shared" si="4"/>
        <v>2.740771355854778</v>
      </c>
    </row>
    <row r="26" ht="42.75" customHeight="1"/>
  </sheetData>
  <sheetProtection/>
  <mergeCells count="1">
    <mergeCell ref="G2:H2"/>
  </mergeCells>
  <printOptions/>
  <pageMargins left="1.141732283464567" right="0.5905511811023623" top="0.9448818897637796" bottom="0.7874015748031497" header="0.5118110236220472" footer="0.31496062992125984"/>
  <pageSetup fitToHeight="1" fitToWidth="1" horizontalDpi="180" verticalDpi="18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="140" zoomScaleNormal="140" workbookViewId="0" topLeftCell="A1">
      <selection activeCell="E3" sqref="E3"/>
    </sheetView>
  </sheetViews>
  <sheetFormatPr defaultColWidth="9.140625" defaultRowHeight="12.75"/>
  <cols>
    <col min="1" max="1" width="9.00390625" style="2" customWidth="1"/>
    <col min="2" max="2" width="52.57421875" style="2" customWidth="1"/>
    <col min="3" max="3" width="10.7109375" style="145" customWidth="1"/>
    <col min="4" max="4" width="12.00390625" style="2" customWidth="1"/>
    <col min="5" max="5" width="6.7109375" style="48" customWidth="1"/>
    <col min="6" max="16384" width="9.140625" style="2" customWidth="1"/>
  </cols>
  <sheetData>
    <row r="1" spans="1:2" ht="37.5" customHeight="1">
      <c r="A1" s="99" t="s">
        <v>896</v>
      </c>
      <c r="B1" s="12"/>
    </row>
    <row r="2" spans="3:5" ht="57.75" customHeight="1">
      <c r="C2" s="148"/>
      <c r="D2" s="8"/>
      <c r="E2" s="141" t="s">
        <v>1441</v>
      </c>
    </row>
    <row r="3" spans="1:5" ht="27" customHeight="1">
      <c r="A3" s="90" t="s">
        <v>790</v>
      </c>
      <c r="B3" s="90" t="s">
        <v>882</v>
      </c>
      <c r="C3" s="149" t="s">
        <v>1353</v>
      </c>
      <c r="D3" s="46" t="s">
        <v>1402</v>
      </c>
      <c r="E3" s="53" t="s">
        <v>535</v>
      </c>
    </row>
    <row r="4" spans="1:5" ht="11.25" customHeight="1">
      <c r="A4" s="94">
        <v>1</v>
      </c>
      <c r="B4" s="94">
        <v>2</v>
      </c>
      <c r="C4" s="150">
        <v>3</v>
      </c>
      <c r="D4" s="53">
        <v>4</v>
      </c>
      <c r="E4" s="53">
        <v>5</v>
      </c>
    </row>
    <row r="5" spans="1:5" ht="24.75" customHeight="1">
      <c r="A5" s="103" t="s">
        <v>550</v>
      </c>
      <c r="B5" s="104" t="s">
        <v>742</v>
      </c>
      <c r="C5" s="105">
        <f>C6+C10</f>
        <v>67547.15</v>
      </c>
      <c r="D5" s="105">
        <f>D6+D10</f>
        <v>0</v>
      </c>
      <c r="E5" s="105">
        <f aca="true" t="shared" si="0" ref="E5:E26">D5/C5*100</f>
        <v>0</v>
      </c>
    </row>
    <row r="6" spans="1:5" ht="21" customHeight="1">
      <c r="A6" s="106" t="s">
        <v>1127</v>
      </c>
      <c r="B6" s="107" t="s">
        <v>1186</v>
      </c>
      <c r="C6" s="132">
        <f>SUM(C7)</f>
        <v>0</v>
      </c>
      <c r="D6" s="132">
        <f>SUM(D7)</f>
        <v>0</v>
      </c>
      <c r="E6" s="14" t="e">
        <f t="shared" si="0"/>
        <v>#DIV/0!</v>
      </c>
    </row>
    <row r="7" spans="1:5" ht="23.25" customHeight="1">
      <c r="A7" s="106" t="s">
        <v>1129</v>
      </c>
      <c r="B7" s="142" t="s">
        <v>1187</v>
      </c>
      <c r="C7" s="132">
        <f>SUM(C8)</f>
        <v>0</v>
      </c>
      <c r="D7" s="132">
        <f>SUM(D8)</f>
        <v>0</v>
      </c>
      <c r="E7" s="14" t="e">
        <f t="shared" si="0"/>
        <v>#DIV/0!</v>
      </c>
    </row>
    <row r="8" spans="1:5" ht="15" customHeight="1">
      <c r="A8" s="39" t="s">
        <v>1131</v>
      </c>
      <c r="B8" s="66" t="s">
        <v>1132</v>
      </c>
      <c r="C8" s="14">
        <f>C9</f>
        <v>0</v>
      </c>
      <c r="D8" s="14">
        <v>0</v>
      </c>
      <c r="E8" s="14" t="e">
        <f t="shared" si="0"/>
        <v>#DIV/0!</v>
      </c>
    </row>
    <row r="9" spans="1:5" ht="15" customHeight="1">
      <c r="A9" s="39" t="s">
        <v>1190</v>
      </c>
      <c r="B9" s="143" t="s">
        <v>1191</v>
      </c>
      <c r="C9" s="14">
        <v>0</v>
      </c>
      <c r="D9" s="14">
        <v>0</v>
      </c>
      <c r="E9" s="14" t="e">
        <f t="shared" si="0"/>
        <v>#DIV/0!</v>
      </c>
    </row>
    <row r="10" spans="1:5" ht="21" customHeight="1">
      <c r="A10" s="106" t="s">
        <v>1133</v>
      </c>
      <c r="B10" s="107" t="s">
        <v>1183</v>
      </c>
      <c r="C10" s="132">
        <f>SUM(C13+C11)</f>
        <v>67547.15</v>
      </c>
      <c r="D10" s="132">
        <f>D11+D13</f>
        <v>0</v>
      </c>
      <c r="E10" s="14">
        <f t="shared" si="0"/>
        <v>0</v>
      </c>
    </row>
    <row r="11" spans="1:5" ht="27.75" customHeight="1">
      <c r="A11" s="106" t="s">
        <v>1135</v>
      </c>
      <c r="B11" s="142" t="s">
        <v>1188</v>
      </c>
      <c r="C11" s="132">
        <f>SUM(C12:C14)</f>
        <v>67547.15</v>
      </c>
      <c r="D11" s="132">
        <f>D12</f>
        <v>0</v>
      </c>
      <c r="E11" s="14">
        <f t="shared" si="0"/>
        <v>0</v>
      </c>
    </row>
    <row r="12" spans="1:5" ht="15" customHeight="1">
      <c r="A12" s="39" t="s">
        <v>1137</v>
      </c>
      <c r="B12" s="66" t="s">
        <v>1189</v>
      </c>
      <c r="C12" s="14">
        <v>67547.15</v>
      </c>
      <c r="D12" s="14">
        <v>0</v>
      </c>
      <c r="E12" s="14">
        <f t="shared" si="0"/>
        <v>0</v>
      </c>
    </row>
    <row r="13" spans="1:5" ht="18" customHeight="1">
      <c r="A13" s="106" t="s">
        <v>1139</v>
      </c>
      <c r="B13" s="107" t="s">
        <v>1184</v>
      </c>
      <c r="C13" s="132">
        <f>SUM(C14:C16)</f>
        <v>0</v>
      </c>
      <c r="D13" s="132">
        <f>SUM(D14:D16)</f>
        <v>0</v>
      </c>
      <c r="E13" s="14" t="e">
        <f t="shared" si="0"/>
        <v>#DIV/0!</v>
      </c>
    </row>
    <row r="14" spans="1:5" ht="15" customHeight="1">
      <c r="A14" s="39" t="s">
        <v>1141</v>
      </c>
      <c r="B14" s="66" t="s">
        <v>1142</v>
      </c>
      <c r="C14" s="14">
        <v>0</v>
      </c>
      <c r="D14" s="14">
        <v>0</v>
      </c>
      <c r="E14" s="14" t="e">
        <f t="shared" si="0"/>
        <v>#DIV/0!</v>
      </c>
    </row>
    <row r="15" spans="1:5" ht="15" customHeight="1">
      <c r="A15" s="39" t="s">
        <v>1162</v>
      </c>
      <c r="B15" s="96" t="s">
        <v>1192</v>
      </c>
      <c r="C15" s="14">
        <v>0</v>
      </c>
      <c r="D15" s="14">
        <v>0</v>
      </c>
      <c r="E15" s="14" t="e">
        <f t="shared" si="0"/>
        <v>#DIV/0!</v>
      </c>
    </row>
    <row r="16" spans="1:5" ht="15" customHeight="1">
      <c r="A16" s="39" t="s">
        <v>1163</v>
      </c>
      <c r="B16" s="96" t="s">
        <v>1193</v>
      </c>
      <c r="C16" s="14">
        <v>0</v>
      </c>
      <c r="D16" s="14">
        <v>0</v>
      </c>
      <c r="E16" s="14" t="e">
        <f t="shared" si="0"/>
        <v>#DIV/0!</v>
      </c>
    </row>
    <row r="17" spans="1:5" ht="25.5" customHeight="1">
      <c r="A17" s="103" t="s">
        <v>517</v>
      </c>
      <c r="B17" s="104" t="s">
        <v>280</v>
      </c>
      <c r="C17" s="105">
        <f>C21+C18</f>
        <v>0</v>
      </c>
      <c r="D17" s="105">
        <f>D21+D18</f>
        <v>18899.4</v>
      </c>
      <c r="E17" s="105" t="e">
        <f t="shared" si="0"/>
        <v>#DIV/0!</v>
      </c>
    </row>
    <row r="18" spans="1:5" ht="21" customHeight="1">
      <c r="A18" s="106" t="s">
        <v>1307</v>
      </c>
      <c r="B18" s="107" t="s">
        <v>1328</v>
      </c>
      <c r="C18" s="132">
        <f>C19</f>
        <v>0</v>
      </c>
      <c r="D18" s="132">
        <f>D19</f>
        <v>0</v>
      </c>
      <c r="E18" s="14" t="e">
        <f>D18/C18*100</f>
        <v>#DIV/0!</v>
      </c>
    </row>
    <row r="19" spans="1:5" ht="24" customHeight="1">
      <c r="A19" s="106" t="s">
        <v>1308</v>
      </c>
      <c r="B19" s="142" t="s">
        <v>1331</v>
      </c>
      <c r="C19" s="132">
        <f>SUM(C20)</f>
        <v>0</v>
      </c>
      <c r="D19" s="132">
        <f>SUM(D20)</f>
        <v>0</v>
      </c>
      <c r="E19" s="14" t="e">
        <f>D19/C19*100</f>
        <v>#DIV/0!</v>
      </c>
    </row>
    <row r="20" spans="1:5" ht="15" customHeight="1">
      <c r="A20" s="39" t="s">
        <v>1310</v>
      </c>
      <c r="B20" s="96" t="s">
        <v>1330</v>
      </c>
      <c r="C20" s="14">
        <v>0</v>
      </c>
      <c r="D20" s="14">
        <v>0</v>
      </c>
      <c r="E20" s="14" t="e">
        <f>D20/C20*100</f>
        <v>#DIV/0!</v>
      </c>
    </row>
    <row r="21" spans="1:5" ht="27" customHeight="1">
      <c r="A21" s="106" t="s">
        <v>1178</v>
      </c>
      <c r="B21" s="142" t="s">
        <v>1327</v>
      </c>
      <c r="C21" s="132">
        <f>C22+C24</f>
        <v>0</v>
      </c>
      <c r="D21" s="132">
        <f>D22+D24</f>
        <v>18899.4</v>
      </c>
      <c r="E21" s="14" t="e">
        <f t="shared" si="0"/>
        <v>#DIV/0!</v>
      </c>
    </row>
    <row r="22" spans="1:5" ht="24" customHeight="1">
      <c r="A22" s="106" t="s">
        <v>1179</v>
      </c>
      <c r="B22" s="142" t="s">
        <v>1182</v>
      </c>
      <c r="C22" s="132">
        <f>SUM(C23)</f>
        <v>0</v>
      </c>
      <c r="D22" s="132">
        <f>SUM(D23)</f>
        <v>18899.4</v>
      </c>
      <c r="E22" s="14" t="e">
        <f t="shared" si="0"/>
        <v>#DIV/0!</v>
      </c>
    </row>
    <row r="23" spans="1:5" ht="15" customHeight="1">
      <c r="A23" s="39" t="s">
        <v>1180</v>
      </c>
      <c r="B23" s="96" t="s">
        <v>1181</v>
      </c>
      <c r="C23" s="14">
        <v>0</v>
      </c>
      <c r="D23" s="14">
        <v>18899.4</v>
      </c>
      <c r="E23" s="14" t="e">
        <f t="shared" si="0"/>
        <v>#DIV/0!</v>
      </c>
    </row>
    <row r="24" spans="1:5" ht="24" customHeight="1">
      <c r="A24" s="106" t="s">
        <v>1315</v>
      </c>
      <c r="B24" s="142" t="s">
        <v>1325</v>
      </c>
      <c r="C24" s="132">
        <f>SUM(C25)</f>
        <v>0</v>
      </c>
      <c r="D24" s="132">
        <f>SUM(D25)</f>
        <v>0</v>
      </c>
      <c r="E24" s="14" t="e">
        <f>D24/C24*100</f>
        <v>#DIV/0!</v>
      </c>
    </row>
    <row r="25" spans="1:5" ht="15" customHeight="1">
      <c r="A25" s="39" t="s">
        <v>1317</v>
      </c>
      <c r="B25" s="96" t="s">
        <v>1326</v>
      </c>
      <c r="C25" s="14">
        <v>0</v>
      </c>
      <c r="D25" s="14">
        <v>0</v>
      </c>
      <c r="E25" s="14" t="e">
        <f>D25/C25*100</f>
        <v>#DIV/0!</v>
      </c>
    </row>
    <row r="26" spans="1:5" ht="25.5" customHeight="1">
      <c r="A26" s="3"/>
      <c r="B26" s="104" t="s">
        <v>791</v>
      </c>
      <c r="C26" s="116">
        <f>C5-C17</f>
        <v>67547.15</v>
      </c>
      <c r="D26" s="105">
        <f>D5-D17</f>
        <v>-18899.4</v>
      </c>
      <c r="E26" s="105">
        <f t="shared" si="0"/>
        <v>-27.979566865515427</v>
      </c>
    </row>
    <row r="27" ht="42.75" customHeight="1"/>
  </sheetData>
  <sheetProtection/>
  <printOptions/>
  <pageMargins left="1.141732283464567" right="0.5905511811023623" top="0.9448818897637796" bottom="0.7874015748031497" header="0.5118110236220472" footer="0.31496062992125984"/>
  <pageSetup fitToHeight="1" fitToWidth="1" horizontalDpi="180" verticalDpi="18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"/>
  <sheetViews>
    <sheetView zoomScale="140" zoomScaleNormal="140" workbookViewId="0" topLeftCell="A1">
      <selection activeCell="G3" sqref="G3"/>
    </sheetView>
  </sheetViews>
  <sheetFormatPr defaultColWidth="9.140625" defaultRowHeight="12.75"/>
  <cols>
    <col min="1" max="1" width="7.421875" style="2" customWidth="1"/>
    <col min="2" max="2" width="43.7109375" style="2" customWidth="1"/>
    <col min="3" max="3" width="10.7109375" style="145" customWidth="1"/>
    <col min="4" max="5" width="10.7109375" style="2" customWidth="1"/>
    <col min="6" max="6" width="12.8515625" style="2" customWidth="1"/>
    <col min="7" max="8" width="7.7109375" style="48" customWidth="1"/>
    <col min="9" max="16384" width="9.140625" style="2" customWidth="1"/>
  </cols>
  <sheetData>
    <row r="1" spans="1:2" ht="37.5" customHeight="1">
      <c r="A1" s="99" t="s">
        <v>897</v>
      </c>
      <c r="B1" s="12"/>
    </row>
    <row r="2" spans="3:8" ht="61.5" customHeight="1">
      <c r="C2" s="148"/>
      <c r="D2" s="8"/>
      <c r="E2" s="8"/>
      <c r="F2" s="8"/>
      <c r="G2" s="177" t="s">
        <v>1441</v>
      </c>
      <c r="H2" s="177"/>
    </row>
    <row r="3" spans="1:8" ht="27" customHeight="1">
      <c r="A3" s="101" t="s">
        <v>790</v>
      </c>
      <c r="B3" s="101" t="s">
        <v>882</v>
      </c>
      <c r="C3" s="157" t="s">
        <v>1353</v>
      </c>
      <c r="D3" s="108" t="s">
        <v>1387</v>
      </c>
      <c r="E3" s="108" t="s">
        <v>1388</v>
      </c>
      <c r="F3" s="108" t="s">
        <v>1402</v>
      </c>
      <c r="G3" s="108" t="s">
        <v>793</v>
      </c>
      <c r="H3" s="108" t="s">
        <v>794</v>
      </c>
    </row>
    <row r="4" spans="1:8" ht="11.25" customHeight="1">
      <c r="A4" s="113">
        <v>1</v>
      </c>
      <c r="B4" s="113">
        <v>2</v>
      </c>
      <c r="C4" s="158">
        <v>3</v>
      </c>
      <c r="D4" s="114">
        <v>4</v>
      </c>
      <c r="E4" s="114">
        <v>5</v>
      </c>
      <c r="F4" s="114">
        <v>6</v>
      </c>
      <c r="G4" s="114">
        <v>7</v>
      </c>
      <c r="H4" s="114">
        <v>8</v>
      </c>
    </row>
    <row r="5" spans="1:8" ht="27.75" customHeight="1">
      <c r="A5" s="206" t="s">
        <v>1224</v>
      </c>
      <c r="B5" s="207"/>
      <c r="C5" s="110">
        <f>C6+C7</f>
        <v>67547.15</v>
      </c>
      <c r="D5" s="109">
        <f>D6+D7</f>
        <v>0</v>
      </c>
      <c r="E5" s="109">
        <f>E6+E7</f>
        <v>0</v>
      </c>
      <c r="F5" s="14">
        <f>F6+F7</f>
        <v>0</v>
      </c>
      <c r="G5" s="110">
        <f aca="true" t="shared" si="0" ref="G5:G11">F5/C5*100</f>
        <v>0</v>
      </c>
      <c r="H5" s="110" t="e">
        <f aca="true" t="shared" si="1" ref="H5:H11">F5/E5*100</f>
        <v>#DIV/0!</v>
      </c>
    </row>
    <row r="6" spans="1:8" ht="27.75" customHeight="1">
      <c r="A6" s="206" t="s">
        <v>1225</v>
      </c>
      <c r="B6" s="207"/>
      <c r="C6" s="110">
        <v>67547.15</v>
      </c>
      <c r="D6" s="109">
        <v>0</v>
      </c>
      <c r="E6" s="109">
        <v>0</v>
      </c>
      <c r="F6" s="14">
        <v>0</v>
      </c>
      <c r="G6" s="110">
        <f t="shared" si="0"/>
        <v>0</v>
      </c>
      <c r="H6" s="110" t="e">
        <f t="shared" si="1"/>
        <v>#DIV/0!</v>
      </c>
    </row>
    <row r="7" spans="1:8" ht="27.75" customHeight="1">
      <c r="A7" s="206" t="s">
        <v>1226</v>
      </c>
      <c r="B7" s="207"/>
      <c r="C7" s="110">
        <v>0</v>
      </c>
      <c r="D7" s="109">
        <v>0</v>
      </c>
      <c r="E7" s="109">
        <v>0</v>
      </c>
      <c r="F7" s="110">
        <v>0</v>
      </c>
      <c r="G7" s="110" t="e">
        <f t="shared" si="0"/>
        <v>#DIV/0!</v>
      </c>
      <c r="H7" s="110" t="e">
        <f t="shared" si="1"/>
        <v>#DIV/0!</v>
      </c>
    </row>
    <row r="8" spans="1:8" ht="25.5" customHeight="1">
      <c r="A8" s="208" t="s">
        <v>1222</v>
      </c>
      <c r="B8" s="209"/>
      <c r="C8" s="112">
        <f>C5</f>
        <v>67547.15</v>
      </c>
      <c r="D8" s="111">
        <f>D5</f>
        <v>0</v>
      </c>
      <c r="E8" s="111">
        <f>E5</f>
        <v>0</v>
      </c>
      <c r="F8" s="105">
        <f>F5</f>
        <v>0</v>
      </c>
      <c r="G8" s="112">
        <f t="shared" si="0"/>
        <v>0</v>
      </c>
      <c r="H8" s="112" t="e">
        <f t="shared" si="1"/>
        <v>#DIV/0!</v>
      </c>
    </row>
    <row r="9" spans="1:8" ht="27.75" customHeight="1">
      <c r="A9" s="206" t="s">
        <v>884</v>
      </c>
      <c r="B9" s="207"/>
      <c r="C9" s="110">
        <v>0</v>
      </c>
      <c r="D9" s="109">
        <v>689565</v>
      </c>
      <c r="E9" s="109">
        <v>689565</v>
      </c>
      <c r="F9" s="110">
        <v>18899.4</v>
      </c>
      <c r="G9" s="110" t="e">
        <f t="shared" si="0"/>
        <v>#DIV/0!</v>
      </c>
      <c r="H9" s="110">
        <f t="shared" si="1"/>
        <v>2.740771355854778</v>
      </c>
    </row>
    <row r="10" spans="1:8" ht="27.75" customHeight="1">
      <c r="A10" s="206" t="s">
        <v>1332</v>
      </c>
      <c r="B10" s="207"/>
      <c r="C10" s="14">
        <v>0</v>
      </c>
      <c r="D10" s="109">
        <v>0</v>
      </c>
      <c r="E10" s="109">
        <v>0</v>
      </c>
      <c r="F10" s="14">
        <v>0</v>
      </c>
      <c r="G10" s="110" t="e">
        <f>F10/C10*100</f>
        <v>#DIV/0!</v>
      </c>
      <c r="H10" s="110" t="e">
        <f>F10/E10*100</f>
        <v>#DIV/0!</v>
      </c>
    </row>
    <row r="11" spans="1:8" ht="25.5" customHeight="1">
      <c r="A11" s="208" t="s">
        <v>1223</v>
      </c>
      <c r="B11" s="209"/>
      <c r="C11" s="105">
        <f>C9+C10</f>
        <v>0</v>
      </c>
      <c r="D11" s="111">
        <f>D9</f>
        <v>689565</v>
      </c>
      <c r="E11" s="111">
        <f>E9</f>
        <v>689565</v>
      </c>
      <c r="F11" s="112">
        <f>F9+F10</f>
        <v>18899.4</v>
      </c>
      <c r="G11" s="112" t="e">
        <f t="shared" si="0"/>
        <v>#DIV/0!</v>
      </c>
      <c r="H11" s="112">
        <f t="shared" si="1"/>
        <v>2.740771355854778</v>
      </c>
    </row>
  </sheetData>
  <sheetProtection/>
  <mergeCells count="8">
    <mergeCell ref="G2:H2"/>
    <mergeCell ref="A7:B7"/>
    <mergeCell ref="A8:B8"/>
    <mergeCell ref="A9:B9"/>
    <mergeCell ref="A11:B11"/>
    <mergeCell ref="A5:B5"/>
    <mergeCell ref="A6:B6"/>
    <mergeCell ref="A10:B10"/>
  </mergeCells>
  <printOptions/>
  <pageMargins left="1.3385826771653544" right="0.5905511811023623" top="1.141732283464567" bottom="0.7874015748031497" header="0.5118110236220472" footer="0.31496062992125984"/>
  <pageSetup horizontalDpi="180" verticalDpi="18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="84" zoomScaleNormal="84" zoomScaleSheetLayoutView="50" zoomScalePageLayoutView="0" workbookViewId="0" topLeftCell="A1">
      <selection activeCell="F8" sqref="F8"/>
    </sheetView>
  </sheetViews>
  <sheetFormatPr defaultColWidth="21.421875" defaultRowHeight="12.75"/>
  <cols>
    <col min="1" max="1" width="18.00390625" style="36" customWidth="1"/>
    <col min="2" max="2" width="21.421875" style="36" customWidth="1"/>
    <col min="3" max="3" width="46.00390625" style="36" customWidth="1"/>
    <col min="4" max="5" width="17.7109375" style="36" customWidth="1"/>
    <col min="6" max="6" width="19.140625" style="36" customWidth="1"/>
    <col min="7" max="7" width="11.7109375" style="36" customWidth="1"/>
    <col min="8" max="16384" width="21.421875" style="36" customWidth="1"/>
  </cols>
  <sheetData>
    <row r="1" spans="1:7" ht="82.5" customHeight="1">
      <c r="A1" s="210" t="s">
        <v>898</v>
      </c>
      <c r="B1" s="210"/>
      <c r="C1" s="210"/>
      <c r="D1" s="210"/>
      <c r="E1" s="210"/>
      <c r="F1" s="210"/>
      <c r="G1" s="210"/>
    </row>
    <row r="2" ht="63.75" customHeight="1"/>
    <row r="3" spans="1:7" ht="18" customHeight="1">
      <c r="A3" s="215" t="s">
        <v>536</v>
      </c>
      <c r="B3" s="211" t="s">
        <v>537</v>
      </c>
      <c r="C3" s="212"/>
      <c r="D3" s="215" t="s">
        <v>1411</v>
      </c>
      <c r="E3" s="215" t="s">
        <v>1412</v>
      </c>
      <c r="F3" s="215" t="s">
        <v>1413</v>
      </c>
      <c r="G3" s="228" t="s">
        <v>730</v>
      </c>
    </row>
    <row r="4" spans="1:7" ht="22.5" customHeight="1">
      <c r="A4" s="216"/>
      <c r="B4" s="213"/>
      <c r="C4" s="214"/>
      <c r="D4" s="216"/>
      <c r="E4" s="216"/>
      <c r="F4" s="216"/>
      <c r="G4" s="228"/>
    </row>
    <row r="5" spans="1:7" ht="18" customHeight="1">
      <c r="A5" s="37">
        <v>1</v>
      </c>
      <c r="B5" s="217">
        <v>2</v>
      </c>
      <c r="C5" s="217"/>
      <c r="D5" s="37">
        <v>3</v>
      </c>
      <c r="E5" s="37">
        <v>4</v>
      </c>
      <c r="F5" s="37">
        <v>5</v>
      </c>
      <c r="G5" s="37">
        <v>6</v>
      </c>
    </row>
    <row r="6" spans="1:7" ht="49.5" customHeight="1">
      <c r="A6" s="40" t="s">
        <v>541</v>
      </c>
      <c r="B6" s="218" t="s">
        <v>545</v>
      </c>
      <c r="C6" s="219"/>
      <c r="D6" s="85">
        <f>D11</f>
        <v>11677900</v>
      </c>
      <c r="E6" s="85">
        <f>E11</f>
        <v>11677900</v>
      </c>
      <c r="F6" s="123">
        <f>F11</f>
        <v>2666799.32</v>
      </c>
      <c r="G6" s="38">
        <f aca="true" t="shared" si="0" ref="G6:G11">F6/E6*100</f>
        <v>22.83629179903921</v>
      </c>
    </row>
    <row r="7" spans="1:7" ht="37.5" customHeight="1">
      <c r="A7" s="42" t="s">
        <v>542</v>
      </c>
      <c r="B7" s="220" t="s">
        <v>538</v>
      </c>
      <c r="C7" s="221"/>
      <c r="D7" s="86">
        <v>10528035</v>
      </c>
      <c r="E7" s="86">
        <v>10528035</v>
      </c>
      <c r="F7" s="124">
        <v>2244822.47</v>
      </c>
      <c r="G7" s="38">
        <f t="shared" si="0"/>
        <v>21.322330995290194</v>
      </c>
    </row>
    <row r="8" spans="1:7" ht="37.5" customHeight="1">
      <c r="A8" s="43" t="s">
        <v>543</v>
      </c>
      <c r="B8" s="222" t="s">
        <v>539</v>
      </c>
      <c r="C8" s="223"/>
      <c r="D8" s="87">
        <v>949484</v>
      </c>
      <c r="E8" s="87">
        <v>949484</v>
      </c>
      <c r="F8" s="125">
        <v>372643.34</v>
      </c>
      <c r="G8" s="38">
        <f t="shared" si="0"/>
        <v>39.24693201781178</v>
      </c>
    </row>
    <row r="9" spans="1:7" ht="37.5" customHeight="1">
      <c r="A9" s="44" t="s">
        <v>544</v>
      </c>
      <c r="B9" s="224" t="s">
        <v>540</v>
      </c>
      <c r="C9" s="225"/>
      <c r="D9" s="87">
        <v>126381</v>
      </c>
      <c r="E9" s="87">
        <v>126381</v>
      </c>
      <c r="F9" s="125">
        <v>48331.51</v>
      </c>
      <c r="G9" s="38">
        <f t="shared" si="0"/>
        <v>38.242702621438355</v>
      </c>
    </row>
    <row r="10" spans="1:7" ht="37.5" customHeight="1">
      <c r="A10" s="44" t="s">
        <v>1414</v>
      </c>
      <c r="B10" s="224" t="s">
        <v>1415</v>
      </c>
      <c r="C10" s="225"/>
      <c r="D10" s="87">
        <v>74000</v>
      </c>
      <c r="E10" s="87">
        <v>74000</v>
      </c>
      <c r="F10" s="125">
        <v>1002</v>
      </c>
      <c r="G10" s="38">
        <f t="shared" si="0"/>
        <v>1.3540540540540542</v>
      </c>
    </row>
    <row r="11" spans="1:7" ht="39" customHeight="1">
      <c r="A11" s="41"/>
      <c r="B11" s="226" t="s">
        <v>548</v>
      </c>
      <c r="C11" s="227"/>
      <c r="D11" s="88">
        <f>D7+D8+D9+D10</f>
        <v>11677900</v>
      </c>
      <c r="E11" s="88">
        <f>E7+E8+E9+E10</f>
        <v>11677900</v>
      </c>
      <c r="F11" s="126">
        <f>F7+F8+F9+F10</f>
        <v>2666799.32</v>
      </c>
      <c r="G11" s="45">
        <f t="shared" si="0"/>
        <v>22.83629179903921</v>
      </c>
    </row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</sheetData>
  <sheetProtection/>
  <mergeCells count="14">
    <mergeCell ref="B7:C7"/>
    <mergeCell ref="B8:C8"/>
    <mergeCell ref="B9:C9"/>
    <mergeCell ref="B11:C11"/>
    <mergeCell ref="G3:G4"/>
    <mergeCell ref="E3:E4"/>
    <mergeCell ref="F3:F4"/>
    <mergeCell ref="B10:C10"/>
    <mergeCell ref="A1:G1"/>
    <mergeCell ref="B3:C4"/>
    <mergeCell ref="A3:A4"/>
    <mergeCell ref="B5:C5"/>
    <mergeCell ref="B6:C6"/>
    <mergeCell ref="D3:D4"/>
  </mergeCells>
  <printOptions/>
  <pageMargins left="0.8661417322834646" right="0.5511811023622047" top="0.984251968503937" bottom="0.5905511811023623" header="0.3937007874015748" footer="0.1968503937007874"/>
  <pageSetup horizontalDpi="180" verticalDpi="18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1473"/>
  <sheetViews>
    <sheetView tabSelected="1" zoomScale="130" zoomScaleNormal="130" zoomScaleSheetLayoutView="50" workbookViewId="0" topLeftCell="A1">
      <selection activeCell="E155" sqref="E155"/>
    </sheetView>
  </sheetViews>
  <sheetFormatPr defaultColWidth="9.140625" defaultRowHeight="12.75"/>
  <cols>
    <col min="1" max="1" width="8.140625" style="2" customWidth="1"/>
    <col min="2" max="2" width="54.28125" style="2" customWidth="1"/>
    <col min="3" max="4" width="11.7109375" style="2" customWidth="1"/>
    <col min="5" max="5" width="15.8515625" style="2" customWidth="1"/>
    <col min="6" max="6" width="8.28125" style="2" customWidth="1"/>
    <col min="7" max="7" width="9.8515625" style="2" bestFit="1" customWidth="1"/>
    <col min="8" max="8" width="11.28125" style="2" bestFit="1" customWidth="1"/>
    <col min="9" max="9" width="10.7109375" style="2" customWidth="1"/>
    <col min="10" max="10" width="12.8515625" style="2" customWidth="1"/>
    <col min="11" max="16384" width="9.140625" style="2" customWidth="1"/>
  </cols>
  <sheetData>
    <row r="1" ht="11.25" customHeight="1"/>
    <row r="2" spans="1:7" ht="22.5" customHeight="1">
      <c r="A2" s="255" t="s">
        <v>899</v>
      </c>
      <c r="B2" s="255"/>
      <c r="C2" s="255"/>
      <c r="D2" s="255"/>
      <c r="E2" s="255"/>
      <c r="F2" s="255"/>
      <c r="G2" s="57"/>
    </row>
    <row r="3" ht="18.75" customHeight="1"/>
    <row r="4" spans="1:6" ht="30" customHeight="1">
      <c r="A4" s="256" t="s">
        <v>546</v>
      </c>
      <c r="B4" s="249"/>
      <c r="C4" s="13" t="s">
        <v>1416</v>
      </c>
      <c r="D4" s="13" t="s">
        <v>1417</v>
      </c>
      <c r="E4" s="13" t="s">
        <v>1418</v>
      </c>
      <c r="F4" s="13" t="s">
        <v>535</v>
      </c>
    </row>
    <row r="5" spans="1:6" ht="11.25" customHeight="1">
      <c r="A5" s="257">
        <v>1</v>
      </c>
      <c r="B5" s="249"/>
      <c r="C5" s="13">
        <v>2</v>
      </c>
      <c r="D5" s="13">
        <v>3</v>
      </c>
      <c r="E5" s="13">
        <v>4</v>
      </c>
      <c r="F5" s="13">
        <v>5</v>
      </c>
    </row>
    <row r="6" spans="1:6" ht="42.75" customHeight="1">
      <c r="A6" s="248" t="s">
        <v>1238</v>
      </c>
      <c r="B6" s="249"/>
      <c r="C6" s="58">
        <f>C7+C1229+C1344+C1424</f>
        <v>11677900</v>
      </c>
      <c r="D6" s="58">
        <f>D7+D1229+D1344+D1424</f>
        <v>11677900</v>
      </c>
      <c r="E6" s="127">
        <f>E7+E1229+E1344+E1424</f>
        <v>2666799.3199999994</v>
      </c>
      <c r="F6" s="59">
        <f aca="true" t="shared" si="0" ref="F6:F24">E6/D6*100</f>
        <v>22.836291799039206</v>
      </c>
    </row>
    <row r="7" spans="1:6" ht="36" customHeight="1">
      <c r="A7" s="252" t="s">
        <v>547</v>
      </c>
      <c r="B7" s="249"/>
      <c r="C7" s="60">
        <f>C16+C93+C131+C160+C193+C254+C314+C348+C385+C480+C503+C574+C586+C624+C681+C726+C767+C802+C873+C1056+C1068+C1101+C1137</f>
        <v>10528035</v>
      </c>
      <c r="D7" s="60">
        <f>D16+D93+D131+D160+D193+D254+D314+D348+D385+D480+D503+D574+D586+D624+D681+D726+D767+D802+D873+D1056+D1068+D1101+D1137</f>
        <v>10528035</v>
      </c>
      <c r="E7" s="128">
        <f>E16+E93+E131+E160+E193+E254+E314+E348+E385+E480+E503+E574+E586+E624+E681+E726+E767+E802+E873+E1056+E1068+E1101+E1137</f>
        <v>2244822.4699999997</v>
      </c>
      <c r="F7" s="59">
        <f t="shared" si="0"/>
        <v>21.32233099529019</v>
      </c>
    </row>
    <row r="8" spans="1:8" ht="18" customHeight="1">
      <c r="A8" s="229" t="s">
        <v>887</v>
      </c>
      <c r="B8" s="230"/>
      <c r="C8" s="4">
        <v>3779045</v>
      </c>
      <c r="D8" s="4">
        <v>3779045</v>
      </c>
      <c r="E8" s="14">
        <v>1403855.75</v>
      </c>
      <c r="F8" s="14">
        <f t="shared" si="0"/>
        <v>37.14842638814833</v>
      </c>
      <c r="G8" s="137"/>
      <c r="H8" s="137"/>
    </row>
    <row r="9" spans="1:9" ht="18" customHeight="1">
      <c r="A9" s="229" t="s">
        <v>1271</v>
      </c>
      <c r="B9" s="230"/>
      <c r="C9" s="4">
        <v>1139500</v>
      </c>
      <c r="D9" s="4">
        <v>1139500</v>
      </c>
      <c r="E9" s="14">
        <v>342561.71</v>
      </c>
      <c r="F9" s="14">
        <f t="shared" si="0"/>
        <v>30.06245809565599</v>
      </c>
      <c r="I9" s="137"/>
    </row>
    <row r="10" spans="1:6" ht="18" customHeight="1">
      <c r="A10" s="229" t="s">
        <v>1270</v>
      </c>
      <c r="B10" s="230"/>
      <c r="C10" s="4">
        <v>1164664</v>
      </c>
      <c r="D10" s="4">
        <v>1164664</v>
      </c>
      <c r="E10" s="14">
        <v>475828.42</v>
      </c>
      <c r="F10" s="14">
        <f t="shared" si="0"/>
        <v>40.855424397079325</v>
      </c>
    </row>
    <row r="11" spans="1:8" ht="18" customHeight="1">
      <c r="A11" s="229" t="s">
        <v>1268</v>
      </c>
      <c r="B11" s="230"/>
      <c r="C11" s="4">
        <v>947830</v>
      </c>
      <c r="D11" s="4">
        <v>947830</v>
      </c>
      <c r="E11" s="14">
        <v>16855.79</v>
      </c>
      <c r="F11" s="14">
        <f t="shared" si="0"/>
        <v>1.7783558233016468</v>
      </c>
      <c r="H11" s="145"/>
    </row>
    <row r="12" spans="1:6" ht="18" customHeight="1">
      <c r="A12" s="229" t="s">
        <v>1269</v>
      </c>
      <c r="B12" s="230"/>
      <c r="C12" s="4">
        <v>0</v>
      </c>
      <c r="D12" s="4">
        <v>0</v>
      </c>
      <c r="E12" s="14">
        <f>E23+E63+E79+E100+E138+E183+E200+E211+E224+E235+E246+E261+E286+E297+E321+E332+E368+E379+E392+E403+E414+E425+E447+E458+E487+E498+E510+E521+E532+E546+E557+E569+E581+E593+E607+E631+E654+E676+E688+E699+E710+E733+E762+E774+E785+E797+E809+E822+E835+E846+E857+E880+E901+E916+E945+E959+E977+E988+E1005+E1063+E1087+E1108+E1120+E1144+E1164+E1175+E1186+E1201+E1213+E1224+E275+E355+E436+E665+E748+E1040+E1075+E121</f>
        <v>0</v>
      </c>
      <c r="F12" s="14" t="e">
        <f t="shared" si="0"/>
        <v>#DIV/0!</v>
      </c>
    </row>
    <row r="13" spans="1:6" ht="18" customHeight="1">
      <c r="A13" s="229" t="s">
        <v>1232</v>
      </c>
      <c r="B13" s="230"/>
      <c r="C13" s="4">
        <v>600</v>
      </c>
      <c r="D13" s="4">
        <v>600</v>
      </c>
      <c r="E13" s="14">
        <v>5720.8</v>
      </c>
      <c r="F13" s="14">
        <f t="shared" si="0"/>
        <v>953.4666666666667</v>
      </c>
    </row>
    <row r="14" spans="1:10" ht="18" customHeight="1">
      <c r="A14" s="229" t="s">
        <v>1285</v>
      </c>
      <c r="B14" s="230"/>
      <c r="C14" s="4">
        <v>0</v>
      </c>
      <c r="D14" s="4">
        <v>0</v>
      </c>
      <c r="E14" s="14">
        <v>0</v>
      </c>
      <c r="F14" s="14" t="e">
        <f>E14/D14*100</f>
        <v>#DIV/0!</v>
      </c>
      <c r="H14" s="137"/>
      <c r="I14" s="137"/>
      <c r="J14" s="145"/>
    </row>
    <row r="15" spans="1:10" ht="18" customHeight="1">
      <c r="A15" s="229" t="s">
        <v>1420</v>
      </c>
      <c r="B15" s="230"/>
      <c r="C15" s="4">
        <v>3496396</v>
      </c>
      <c r="D15" s="4">
        <v>3496396</v>
      </c>
      <c r="E15" s="14">
        <v>0</v>
      </c>
      <c r="F15" s="14">
        <f>E15/D15*100</f>
        <v>0</v>
      </c>
      <c r="H15" s="137"/>
      <c r="I15" s="137"/>
      <c r="J15" s="145"/>
    </row>
    <row r="16" spans="1:6" ht="30" customHeight="1">
      <c r="A16" s="258" t="s">
        <v>595</v>
      </c>
      <c r="B16" s="258"/>
      <c r="C16" s="61">
        <f>C17+C57+C73</f>
        <v>1044870</v>
      </c>
      <c r="D16" s="61">
        <f>D17+D57+D73</f>
        <v>1044870</v>
      </c>
      <c r="E16" s="129">
        <f>E17+E57+E73</f>
        <v>372546.82</v>
      </c>
      <c r="F16" s="14">
        <f t="shared" si="0"/>
        <v>35.65484892857484</v>
      </c>
    </row>
    <row r="17" spans="1:6" ht="25.5" customHeight="1">
      <c r="A17" s="233" t="s">
        <v>596</v>
      </c>
      <c r="B17" s="234"/>
      <c r="C17" s="62">
        <f>C27+C36</f>
        <v>916600</v>
      </c>
      <c r="D17" s="62">
        <f>D27+D36</f>
        <v>916600</v>
      </c>
      <c r="E17" s="130">
        <f>E27+E36</f>
        <v>353586.51</v>
      </c>
      <c r="F17" s="14">
        <f t="shared" si="0"/>
        <v>38.57587933667903</v>
      </c>
    </row>
    <row r="18" spans="1:6" ht="25.5" customHeight="1">
      <c r="A18" s="233" t="s">
        <v>1032</v>
      </c>
      <c r="B18" s="234"/>
      <c r="C18" s="62">
        <f>SUM(C19:C26)</f>
        <v>916600</v>
      </c>
      <c r="D18" s="62">
        <f>SUM(D19:D26)</f>
        <v>916600</v>
      </c>
      <c r="E18" s="130">
        <f>SUM(E19:E26)</f>
        <v>353586.51</v>
      </c>
      <c r="F18" s="14">
        <f>E18/D18*100</f>
        <v>38.57587933667903</v>
      </c>
    </row>
    <row r="19" spans="1:6" ht="18" customHeight="1">
      <c r="A19" s="229" t="s">
        <v>1025</v>
      </c>
      <c r="B19" s="230"/>
      <c r="C19" s="4">
        <v>651734</v>
      </c>
      <c r="D19" s="4">
        <v>651734</v>
      </c>
      <c r="E19" s="14">
        <v>284230.7</v>
      </c>
      <c r="F19" s="14">
        <f t="shared" si="0"/>
        <v>43.61145804883588</v>
      </c>
    </row>
    <row r="20" spans="1:6" ht="18" customHeight="1">
      <c r="A20" s="229" t="s">
        <v>1227</v>
      </c>
      <c r="B20" s="230"/>
      <c r="C20" s="4">
        <v>205670</v>
      </c>
      <c r="D20" s="4">
        <v>205670</v>
      </c>
      <c r="E20" s="14">
        <v>69355.81</v>
      </c>
      <c r="F20" s="14">
        <f t="shared" si="0"/>
        <v>33.72188943453104</v>
      </c>
    </row>
    <row r="21" spans="1:6" ht="18" customHeight="1">
      <c r="A21" s="229" t="s">
        <v>1231</v>
      </c>
      <c r="B21" s="230"/>
      <c r="C21" s="4">
        <f>'TABLICA 4-5'!D67</f>
        <v>0</v>
      </c>
      <c r="D21" s="4">
        <v>0</v>
      </c>
      <c r="E21" s="14">
        <v>0</v>
      </c>
      <c r="F21" s="14" t="e">
        <f t="shared" si="0"/>
        <v>#DIV/0!</v>
      </c>
    </row>
    <row r="22" spans="1:6" ht="18" customHeight="1">
      <c r="A22" s="229" t="s">
        <v>1228</v>
      </c>
      <c r="B22" s="230"/>
      <c r="C22" s="4">
        <v>0</v>
      </c>
      <c r="D22" s="4">
        <v>0</v>
      </c>
      <c r="E22" s="14">
        <v>0</v>
      </c>
      <c r="F22" s="14" t="e">
        <f t="shared" si="0"/>
        <v>#DIV/0!</v>
      </c>
    </row>
    <row r="23" spans="1:6" ht="18" customHeight="1">
      <c r="A23" s="229" t="s">
        <v>1229</v>
      </c>
      <c r="B23" s="230"/>
      <c r="C23" s="4">
        <v>0</v>
      </c>
      <c r="D23" s="4">
        <v>0</v>
      </c>
      <c r="E23" s="14">
        <v>0</v>
      </c>
      <c r="F23" s="14" t="e">
        <f t="shared" si="0"/>
        <v>#DIV/0!</v>
      </c>
    </row>
    <row r="24" spans="1:6" ht="18" customHeight="1">
      <c r="A24" s="229" t="s">
        <v>1234</v>
      </c>
      <c r="B24" s="230"/>
      <c r="C24" s="4">
        <v>0</v>
      </c>
      <c r="D24" s="4">
        <v>0</v>
      </c>
      <c r="E24" s="14">
        <v>0</v>
      </c>
      <c r="F24" s="14" t="e">
        <f t="shared" si="0"/>
        <v>#DIV/0!</v>
      </c>
    </row>
    <row r="25" spans="1:6" ht="18" customHeight="1">
      <c r="A25" s="229" t="s">
        <v>1257</v>
      </c>
      <c r="B25" s="230"/>
      <c r="C25" s="4">
        <v>0</v>
      </c>
      <c r="D25" s="4">
        <v>0</v>
      </c>
      <c r="E25" s="14">
        <v>0</v>
      </c>
      <c r="F25" s="14" t="e">
        <f>E25/D25*100</f>
        <v>#DIV/0!</v>
      </c>
    </row>
    <row r="26" spans="1:6" ht="18" customHeight="1">
      <c r="A26" s="229" t="s">
        <v>1419</v>
      </c>
      <c r="B26" s="230"/>
      <c r="C26" s="4">
        <v>59196</v>
      </c>
      <c r="D26" s="4">
        <v>59196</v>
      </c>
      <c r="E26" s="14">
        <v>0</v>
      </c>
      <c r="F26" s="14">
        <f>E26/D26*100</f>
        <v>0</v>
      </c>
    </row>
    <row r="27" spans="1:6" ht="21" customHeight="1">
      <c r="A27" s="39">
        <v>31</v>
      </c>
      <c r="B27" s="66" t="s">
        <v>38</v>
      </c>
      <c r="C27" s="4">
        <v>553500</v>
      </c>
      <c r="D27" s="4">
        <v>553500</v>
      </c>
      <c r="E27" s="14">
        <f>E28+E31+E33</f>
        <v>234968.53</v>
      </c>
      <c r="F27" s="14">
        <f aca="true" t="shared" si="1" ref="F27:F154">E27/D27*100</f>
        <v>42.45140560072267</v>
      </c>
    </row>
    <row r="28" spans="1:6" ht="18" customHeight="1">
      <c r="A28" s="39">
        <v>311</v>
      </c>
      <c r="B28" s="66" t="s">
        <v>320</v>
      </c>
      <c r="C28" s="4">
        <v>0</v>
      </c>
      <c r="D28" s="4">
        <v>0</v>
      </c>
      <c r="E28" s="14">
        <f>SUM(E29:E30)</f>
        <v>195503.69</v>
      </c>
      <c r="F28" s="14" t="e">
        <f t="shared" si="1"/>
        <v>#DIV/0!</v>
      </c>
    </row>
    <row r="29" spans="1:6" ht="15" customHeight="1">
      <c r="A29" s="39">
        <v>3111</v>
      </c>
      <c r="B29" s="66" t="s">
        <v>39</v>
      </c>
      <c r="C29" s="4"/>
      <c r="D29" s="4"/>
      <c r="E29" s="14">
        <v>189752.35</v>
      </c>
      <c r="F29" s="14" t="e">
        <f t="shared" si="1"/>
        <v>#DIV/0!</v>
      </c>
    </row>
    <row r="30" spans="1:6" ht="15" customHeight="1">
      <c r="A30" s="39" t="s">
        <v>1297</v>
      </c>
      <c r="B30" s="66" t="s">
        <v>1298</v>
      </c>
      <c r="C30" s="4"/>
      <c r="D30" s="4"/>
      <c r="E30" s="14">
        <v>5751.34</v>
      </c>
      <c r="F30" s="14" t="e">
        <f>E30/D30*100</f>
        <v>#DIV/0!</v>
      </c>
    </row>
    <row r="31" spans="1:6" ht="18" customHeight="1">
      <c r="A31" s="39">
        <v>312</v>
      </c>
      <c r="B31" s="66" t="s">
        <v>40</v>
      </c>
      <c r="C31" s="4">
        <v>0</v>
      </c>
      <c r="D31" s="4">
        <v>0</v>
      </c>
      <c r="E31" s="14">
        <f>E32</f>
        <v>8154.31</v>
      </c>
      <c r="F31" s="14" t="e">
        <f t="shared" si="1"/>
        <v>#DIV/0!</v>
      </c>
    </row>
    <row r="32" spans="1:6" ht="15" customHeight="1">
      <c r="A32" s="39">
        <v>3121</v>
      </c>
      <c r="B32" s="66" t="s">
        <v>41</v>
      </c>
      <c r="C32" s="4"/>
      <c r="D32" s="4"/>
      <c r="E32" s="14">
        <v>8154.31</v>
      </c>
      <c r="F32" s="14" t="e">
        <f t="shared" si="1"/>
        <v>#DIV/0!</v>
      </c>
    </row>
    <row r="33" spans="1:6" ht="18" customHeight="1">
      <c r="A33" s="39">
        <v>313</v>
      </c>
      <c r="B33" s="66" t="s">
        <v>42</v>
      </c>
      <c r="C33" s="4">
        <v>0</v>
      </c>
      <c r="D33" s="4">
        <v>0</v>
      </c>
      <c r="E33" s="14">
        <f>SUM(E34:E35)</f>
        <v>31310.53</v>
      </c>
      <c r="F33" s="14" t="e">
        <f t="shared" si="1"/>
        <v>#DIV/0!</v>
      </c>
    </row>
    <row r="34" spans="1:6" ht="15" customHeight="1">
      <c r="A34" s="39">
        <v>3132</v>
      </c>
      <c r="B34" s="66" t="s">
        <v>321</v>
      </c>
      <c r="C34" s="4"/>
      <c r="D34" s="4"/>
      <c r="E34" s="14">
        <v>31310.53</v>
      </c>
      <c r="F34" s="14" t="e">
        <f t="shared" si="1"/>
        <v>#DIV/0!</v>
      </c>
    </row>
    <row r="35" spans="1:6" ht="15" customHeight="1">
      <c r="A35" s="39">
        <v>3133</v>
      </c>
      <c r="B35" s="66" t="s">
        <v>322</v>
      </c>
      <c r="C35" s="4"/>
      <c r="D35" s="4"/>
      <c r="E35" s="14">
        <v>0</v>
      </c>
      <c r="F35" s="14" t="e">
        <f t="shared" si="1"/>
        <v>#DIV/0!</v>
      </c>
    </row>
    <row r="36" spans="1:6" ht="21" customHeight="1">
      <c r="A36" s="67">
        <v>32</v>
      </c>
      <c r="B36" s="68" t="s">
        <v>43</v>
      </c>
      <c r="C36" s="69">
        <v>363100</v>
      </c>
      <c r="D36" s="69">
        <v>363100</v>
      </c>
      <c r="E36" s="131">
        <f>E37+E42+E48+E55</f>
        <v>118617.98</v>
      </c>
      <c r="F36" s="14">
        <f t="shared" si="1"/>
        <v>32.66812999173781</v>
      </c>
    </row>
    <row r="37" spans="1:6" ht="18" customHeight="1">
      <c r="A37" s="39">
        <v>321</v>
      </c>
      <c r="B37" s="66" t="s">
        <v>44</v>
      </c>
      <c r="C37" s="4">
        <v>0</v>
      </c>
      <c r="D37" s="4">
        <v>0</v>
      </c>
      <c r="E37" s="14">
        <f>SUM(E38:E41)</f>
        <v>13870.63</v>
      </c>
      <c r="F37" s="14" t="e">
        <f t="shared" si="1"/>
        <v>#DIV/0!</v>
      </c>
    </row>
    <row r="38" spans="1:6" ht="15" customHeight="1">
      <c r="A38" s="39">
        <v>3211</v>
      </c>
      <c r="B38" s="66" t="s">
        <v>45</v>
      </c>
      <c r="C38" s="4"/>
      <c r="D38" s="4"/>
      <c r="E38" s="14">
        <v>4570.67</v>
      </c>
      <c r="F38" s="14" t="e">
        <f t="shared" si="1"/>
        <v>#DIV/0!</v>
      </c>
    </row>
    <row r="39" spans="1:6" ht="15" customHeight="1">
      <c r="A39" s="39" t="s">
        <v>144</v>
      </c>
      <c r="B39" s="66" t="s">
        <v>146</v>
      </c>
      <c r="C39" s="4"/>
      <c r="D39" s="4"/>
      <c r="E39" s="14">
        <v>8914.71</v>
      </c>
      <c r="F39" s="14" t="e">
        <f t="shared" si="1"/>
        <v>#DIV/0!</v>
      </c>
    </row>
    <row r="40" spans="1:6" ht="15" customHeight="1">
      <c r="A40" s="39">
        <v>3213</v>
      </c>
      <c r="B40" s="66" t="s">
        <v>46</v>
      </c>
      <c r="C40" s="4"/>
      <c r="D40" s="4"/>
      <c r="E40" s="14">
        <v>361.25</v>
      </c>
      <c r="F40" s="14" t="e">
        <f t="shared" si="1"/>
        <v>#DIV/0!</v>
      </c>
    </row>
    <row r="41" spans="1:6" ht="15" customHeight="1">
      <c r="A41" s="39" t="s">
        <v>312</v>
      </c>
      <c r="B41" s="66" t="s">
        <v>323</v>
      </c>
      <c r="C41" s="4"/>
      <c r="D41" s="4"/>
      <c r="E41" s="14">
        <v>24</v>
      </c>
      <c r="F41" s="14" t="e">
        <f t="shared" si="1"/>
        <v>#DIV/0!</v>
      </c>
    </row>
    <row r="42" spans="1:6" ht="18" customHeight="1">
      <c r="A42" s="39">
        <v>322</v>
      </c>
      <c r="B42" s="66" t="s">
        <v>47</v>
      </c>
      <c r="C42" s="4">
        <v>0</v>
      </c>
      <c r="D42" s="4">
        <v>0</v>
      </c>
      <c r="E42" s="14">
        <f>SUM(E43:E47)</f>
        <v>45879.590000000004</v>
      </c>
      <c r="F42" s="14" t="e">
        <f t="shared" si="1"/>
        <v>#DIV/0!</v>
      </c>
    </row>
    <row r="43" spans="1:6" ht="15" customHeight="1">
      <c r="A43" s="39">
        <v>3221</v>
      </c>
      <c r="B43" s="66" t="s">
        <v>48</v>
      </c>
      <c r="C43" s="4"/>
      <c r="D43" s="4"/>
      <c r="E43" s="14">
        <v>18519.22</v>
      </c>
      <c r="F43" s="14" t="e">
        <f t="shared" si="1"/>
        <v>#DIV/0!</v>
      </c>
    </row>
    <row r="44" spans="1:6" ht="15" customHeight="1">
      <c r="A44" s="39">
        <v>3223</v>
      </c>
      <c r="B44" s="66" t="s">
        <v>49</v>
      </c>
      <c r="C44" s="4"/>
      <c r="D44" s="4"/>
      <c r="E44" s="14">
        <v>26525.9</v>
      </c>
      <c r="F44" s="14" t="e">
        <f t="shared" si="1"/>
        <v>#DIV/0!</v>
      </c>
    </row>
    <row r="45" spans="1:6" ht="15" customHeight="1">
      <c r="A45" s="39">
        <v>3224</v>
      </c>
      <c r="B45" s="66" t="s">
        <v>50</v>
      </c>
      <c r="C45" s="4"/>
      <c r="D45" s="4"/>
      <c r="E45" s="14">
        <v>834.47</v>
      </c>
      <c r="F45" s="14" t="e">
        <f t="shared" si="1"/>
        <v>#DIV/0!</v>
      </c>
    </row>
    <row r="46" spans="1:6" ht="15" customHeight="1">
      <c r="A46" s="39">
        <v>3225</v>
      </c>
      <c r="B46" s="66" t="s">
        <v>51</v>
      </c>
      <c r="C46" s="4"/>
      <c r="D46" s="4"/>
      <c r="E46" s="14">
        <v>0</v>
      </c>
      <c r="F46" s="14" t="e">
        <f>E46/D46*100</f>
        <v>#DIV/0!</v>
      </c>
    </row>
    <row r="47" spans="1:6" ht="15" customHeight="1">
      <c r="A47" s="39" t="s">
        <v>571</v>
      </c>
      <c r="B47" s="66" t="s">
        <v>572</v>
      </c>
      <c r="C47" s="4"/>
      <c r="D47" s="4"/>
      <c r="E47" s="14">
        <v>0</v>
      </c>
      <c r="F47" s="14" t="e">
        <f t="shared" si="1"/>
        <v>#DIV/0!</v>
      </c>
    </row>
    <row r="48" spans="1:6" ht="18" customHeight="1">
      <c r="A48" s="39">
        <v>323</v>
      </c>
      <c r="B48" s="66" t="s">
        <v>52</v>
      </c>
      <c r="C48" s="4">
        <v>0</v>
      </c>
      <c r="D48" s="4">
        <v>0</v>
      </c>
      <c r="E48" s="14">
        <f>SUM(E49:E54)</f>
        <v>54975.11</v>
      </c>
      <c r="F48" s="14" t="e">
        <f t="shared" si="1"/>
        <v>#DIV/0!</v>
      </c>
    </row>
    <row r="49" spans="1:6" ht="15" customHeight="1">
      <c r="A49" s="39">
        <v>3231</v>
      </c>
      <c r="B49" s="66" t="s">
        <v>53</v>
      </c>
      <c r="C49" s="4"/>
      <c r="D49" s="4"/>
      <c r="E49" s="14">
        <v>14344.98</v>
      </c>
      <c r="F49" s="14" t="e">
        <f t="shared" si="1"/>
        <v>#DIV/0!</v>
      </c>
    </row>
    <row r="50" spans="1:6" ht="15" customHeight="1">
      <c r="A50" s="39">
        <v>3232</v>
      </c>
      <c r="B50" s="66" t="s">
        <v>54</v>
      </c>
      <c r="C50" s="4"/>
      <c r="D50" s="4"/>
      <c r="E50" s="14">
        <v>6108.35</v>
      </c>
      <c r="F50" s="14" t="e">
        <f t="shared" si="1"/>
        <v>#DIV/0!</v>
      </c>
    </row>
    <row r="51" spans="1:6" ht="15" customHeight="1">
      <c r="A51" s="39">
        <v>3234</v>
      </c>
      <c r="B51" s="66" t="s">
        <v>55</v>
      </c>
      <c r="C51" s="4"/>
      <c r="D51" s="4"/>
      <c r="E51" s="14">
        <v>2357.77</v>
      </c>
      <c r="F51" s="14" t="e">
        <f t="shared" si="1"/>
        <v>#DIV/0!</v>
      </c>
    </row>
    <row r="52" spans="1:6" ht="15" customHeight="1">
      <c r="A52" s="39" t="s">
        <v>345</v>
      </c>
      <c r="B52" s="66" t="s">
        <v>346</v>
      </c>
      <c r="C52" s="4"/>
      <c r="D52" s="4"/>
      <c r="E52" s="14">
        <v>18309.78</v>
      </c>
      <c r="F52" s="14" t="e">
        <f t="shared" si="1"/>
        <v>#DIV/0!</v>
      </c>
    </row>
    <row r="53" spans="1:6" ht="15" customHeight="1">
      <c r="A53" s="39">
        <v>3238</v>
      </c>
      <c r="B53" s="66" t="s">
        <v>56</v>
      </c>
      <c r="C53" s="4"/>
      <c r="D53" s="4"/>
      <c r="E53" s="14">
        <v>13854.23</v>
      </c>
      <c r="F53" s="14" t="e">
        <f t="shared" si="1"/>
        <v>#DIV/0!</v>
      </c>
    </row>
    <row r="54" spans="1:6" ht="15" customHeight="1">
      <c r="A54" s="39" t="s">
        <v>337</v>
      </c>
      <c r="B54" s="66" t="s">
        <v>344</v>
      </c>
      <c r="C54" s="4"/>
      <c r="D54" s="4"/>
      <c r="E54" s="14">
        <v>0</v>
      </c>
      <c r="F54" s="14" t="e">
        <f t="shared" si="1"/>
        <v>#DIV/0!</v>
      </c>
    </row>
    <row r="55" spans="1:6" ht="18" customHeight="1">
      <c r="A55" s="39" t="s">
        <v>290</v>
      </c>
      <c r="B55" s="66" t="s">
        <v>296</v>
      </c>
      <c r="C55" s="4">
        <v>0</v>
      </c>
      <c r="D55" s="4">
        <v>0</v>
      </c>
      <c r="E55" s="14">
        <f>E56</f>
        <v>3892.65</v>
      </c>
      <c r="F55" s="14" t="e">
        <f t="shared" si="1"/>
        <v>#DIV/0!</v>
      </c>
    </row>
    <row r="56" spans="1:6" ht="15" customHeight="1">
      <c r="A56" s="39">
        <v>3293</v>
      </c>
      <c r="B56" s="3" t="s">
        <v>37</v>
      </c>
      <c r="C56" s="4"/>
      <c r="D56" s="4"/>
      <c r="E56" s="14">
        <v>3892.65</v>
      </c>
      <c r="F56" s="14" t="e">
        <f t="shared" si="1"/>
        <v>#DIV/0!</v>
      </c>
    </row>
    <row r="57" spans="1:6" ht="25.5" customHeight="1">
      <c r="A57" s="262" t="s">
        <v>925</v>
      </c>
      <c r="B57" s="263"/>
      <c r="C57" s="62">
        <f>C65</f>
        <v>34270</v>
      </c>
      <c r="D57" s="62">
        <f>D65</f>
        <v>34270</v>
      </c>
      <c r="E57" s="130">
        <f>E65</f>
        <v>5978.73</v>
      </c>
      <c r="F57" s="14">
        <f t="shared" si="1"/>
        <v>17.44595856434199</v>
      </c>
    </row>
    <row r="58" spans="1:6" ht="25.5" customHeight="1">
      <c r="A58" s="233" t="s">
        <v>1031</v>
      </c>
      <c r="B58" s="234"/>
      <c r="C58" s="62">
        <f>SUM(C59:C64)</f>
        <v>34270</v>
      </c>
      <c r="D58" s="62">
        <f>SUM(D59:D64)</f>
        <v>34270</v>
      </c>
      <c r="E58" s="130">
        <f>SUM(E59:E64)</f>
        <v>5978.73</v>
      </c>
      <c r="F58" s="14">
        <f t="shared" si="1"/>
        <v>17.44595856434199</v>
      </c>
    </row>
    <row r="59" spans="1:6" ht="18" customHeight="1">
      <c r="A59" s="229" t="s">
        <v>1025</v>
      </c>
      <c r="B59" s="230"/>
      <c r="C59" s="4">
        <v>34270</v>
      </c>
      <c r="D59" s="4">
        <v>34270</v>
      </c>
      <c r="E59" s="14">
        <v>5978.73</v>
      </c>
      <c r="F59" s="14">
        <f t="shared" si="1"/>
        <v>17.44595856434199</v>
      </c>
    </row>
    <row r="60" spans="1:6" ht="18" customHeight="1">
      <c r="A60" s="229" t="s">
        <v>1227</v>
      </c>
      <c r="B60" s="230"/>
      <c r="C60" s="4">
        <v>0</v>
      </c>
      <c r="D60" s="4">
        <v>0</v>
      </c>
      <c r="E60" s="14">
        <v>0</v>
      </c>
      <c r="F60" s="14" t="e">
        <f t="shared" si="1"/>
        <v>#DIV/0!</v>
      </c>
    </row>
    <row r="61" spans="1:6" ht="18" customHeight="1">
      <c r="A61" s="229" t="s">
        <v>1233</v>
      </c>
      <c r="B61" s="230"/>
      <c r="C61" s="4">
        <f>'TABLICA 4-5'!D104</f>
        <v>0</v>
      </c>
      <c r="D61" s="4">
        <v>0</v>
      </c>
      <c r="E61" s="14">
        <v>0</v>
      </c>
      <c r="F61" s="14" t="e">
        <f t="shared" si="1"/>
        <v>#DIV/0!</v>
      </c>
    </row>
    <row r="62" spans="1:6" ht="18" customHeight="1">
      <c r="A62" s="229" t="s">
        <v>1228</v>
      </c>
      <c r="B62" s="230"/>
      <c r="C62" s="4">
        <v>0</v>
      </c>
      <c r="D62" s="4">
        <v>0</v>
      </c>
      <c r="E62" s="14">
        <v>0</v>
      </c>
      <c r="F62" s="14" t="e">
        <f t="shared" si="1"/>
        <v>#DIV/0!</v>
      </c>
    </row>
    <row r="63" spans="1:6" ht="18" customHeight="1">
      <c r="A63" s="229" t="s">
        <v>1229</v>
      </c>
      <c r="B63" s="230"/>
      <c r="C63" s="4">
        <v>0</v>
      </c>
      <c r="D63" s="4">
        <v>0</v>
      </c>
      <c r="E63" s="14">
        <v>0</v>
      </c>
      <c r="F63" s="14" t="e">
        <f t="shared" si="1"/>
        <v>#DIV/0!</v>
      </c>
    </row>
    <row r="64" spans="1:6" ht="18" customHeight="1">
      <c r="A64" s="229" t="s">
        <v>1230</v>
      </c>
      <c r="B64" s="230"/>
      <c r="C64" s="4">
        <v>0</v>
      </c>
      <c r="D64" s="4">
        <v>0</v>
      </c>
      <c r="E64" s="14">
        <v>0</v>
      </c>
      <c r="F64" s="14" t="e">
        <f t="shared" si="1"/>
        <v>#DIV/0!</v>
      </c>
    </row>
    <row r="65" spans="1:6" ht="21" customHeight="1">
      <c r="A65" s="39">
        <v>32</v>
      </c>
      <c r="B65" s="144" t="s">
        <v>271</v>
      </c>
      <c r="C65" s="4">
        <v>34270</v>
      </c>
      <c r="D65" s="4">
        <v>34270</v>
      </c>
      <c r="E65" s="14">
        <f>E66+E68+E70</f>
        <v>5978.73</v>
      </c>
      <c r="F65" s="14">
        <f t="shared" si="1"/>
        <v>17.44595856434199</v>
      </c>
    </row>
    <row r="66" spans="1:6" ht="18" customHeight="1">
      <c r="A66" s="39">
        <v>323</v>
      </c>
      <c r="B66" s="3" t="s">
        <v>333</v>
      </c>
      <c r="C66" s="4">
        <v>0</v>
      </c>
      <c r="D66" s="4">
        <v>0</v>
      </c>
      <c r="E66" s="14">
        <f>E67</f>
        <v>1500</v>
      </c>
      <c r="F66" s="14" t="e">
        <f t="shared" si="1"/>
        <v>#DIV/0!</v>
      </c>
    </row>
    <row r="67" spans="1:6" ht="15" customHeight="1">
      <c r="A67" s="39">
        <v>3233</v>
      </c>
      <c r="B67" s="3" t="s">
        <v>334</v>
      </c>
      <c r="C67" s="4"/>
      <c r="D67" s="4"/>
      <c r="E67" s="14">
        <v>1500</v>
      </c>
      <c r="F67" s="14" t="e">
        <f t="shared" si="1"/>
        <v>#DIV/0!</v>
      </c>
    </row>
    <row r="68" spans="1:6" ht="18" customHeight="1">
      <c r="A68" s="39" t="s">
        <v>300</v>
      </c>
      <c r="B68" s="144" t="s">
        <v>1236</v>
      </c>
      <c r="C68" s="4">
        <v>0</v>
      </c>
      <c r="D68" s="4">
        <v>0</v>
      </c>
      <c r="E68" s="14">
        <f>E69</f>
        <v>0</v>
      </c>
      <c r="F68" s="14" t="e">
        <f t="shared" si="1"/>
        <v>#DIV/0!</v>
      </c>
    </row>
    <row r="69" spans="1:6" ht="15" customHeight="1">
      <c r="A69" s="39" t="s">
        <v>302</v>
      </c>
      <c r="B69" s="70" t="s">
        <v>1235</v>
      </c>
      <c r="C69" s="4"/>
      <c r="D69" s="4"/>
      <c r="E69" s="14">
        <v>0</v>
      </c>
      <c r="F69" s="14" t="e">
        <f t="shared" si="1"/>
        <v>#DIV/0!</v>
      </c>
    </row>
    <row r="70" spans="1:6" ht="18" customHeight="1">
      <c r="A70" s="39">
        <v>329</v>
      </c>
      <c r="B70" s="66" t="s">
        <v>57</v>
      </c>
      <c r="C70" s="4">
        <v>0</v>
      </c>
      <c r="D70" s="4">
        <v>0</v>
      </c>
      <c r="E70" s="14">
        <f>SUM(E71:E72)</f>
        <v>4478.73</v>
      </c>
      <c r="F70" s="14" t="e">
        <f t="shared" si="1"/>
        <v>#DIV/0!</v>
      </c>
    </row>
    <row r="71" spans="1:6" ht="15" customHeight="1">
      <c r="A71" s="39">
        <v>3291</v>
      </c>
      <c r="B71" s="3" t="s">
        <v>347</v>
      </c>
      <c r="C71" s="4"/>
      <c r="D71" s="4"/>
      <c r="E71" s="14">
        <v>4012.74</v>
      </c>
      <c r="F71" s="14" t="e">
        <f t="shared" si="1"/>
        <v>#DIV/0!</v>
      </c>
    </row>
    <row r="72" spans="1:6" ht="15" customHeight="1">
      <c r="A72" s="39">
        <v>3293</v>
      </c>
      <c r="B72" s="3" t="s">
        <v>37</v>
      </c>
      <c r="C72" s="4"/>
      <c r="D72" s="4"/>
      <c r="E72" s="14">
        <v>465.99</v>
      </c>
      <c r="F72" s="14" t="e">
        <f t="shared" si="1"/>
        <v>#DIV/0!</v>
      </c>
    </row>
    <row r="73" spans="1:6" ht="25.5" customHeight="1">
      <c r="A73" s="259" t="s">
        <v>671</v>
      </c>
      <c r="B73" s="260"/>
      <c r="C73" s="5">
        <f>C81</f>
        <v>94000</v>
      </c>
      <c r="D73" s="5">
        <f>D81</f>
        <v>94000</v>
      </c>
      <c r="E73" s="132">
        <f>E81</f>
        <v>12981.58</v>
      </c>
      <c r="F73" s="14">
        <f>E73/D73*100</f>
        <v>13.810191489361703</v>
      </c>
    </row>
    <row r="74" spans="1:6" ht="25.5" customHeight="1">
      <c r="A74" s="233" t="s">
        <v>1237</v>
      </c>
      <c r="B74" s="234"/>
      <c r="C74" s="62">
        <f>SUM(C75:C80)</f>
        <v>94000</v>
      </c>
      <c r="D74" s="62">
        <f>SUM(D75:D80)</f>
        <v>94000</v>
      </c>
      <c r="E74" s="130">
        <f>SUM(E75:E80)</f>
        <v>12981.58</v>
      </c>
      <c r="F74" s="14">
        <f aca="true" t="shared" si="2" ref="F74:F80">E74/D74*100</f>
        <v>13.810191489361703</v>
      </c>
    </row>
    <row r="75" spans="1:6" ht="18" customHeight="1">
      <c r="A75" s="229" t="s">
        <v>1025</v>
      </c>
      <c r="B75" s="230"/>
      <c r="C75" s="4">
        <v>3000</v>
      </c>
      <c r="D75" s="4">
        <v>3000</v>
      </c>
      <c r="E75" s="14">
        <v>0</v>
      </c>
      <c r="F75" s="14">
        <f t="shared" si="2"/>
        <v>0</v>
      </c>
    </row>
    <row r="76" spans="1:6" ht="18" customHeight="1">
      <c r="A76" s="229" t="s">
        <v>1227</v>
      </c>
      <c r="B76" s="230"/>
      <c r="C76" s="4">
        <v>91000</v>
      </c>
      <c r="D76" s="4">
        <v>91000</v>
      </c>
      <c r="E76" s="14">
        <v>12981.58</v>
      </c>
      <c r="F76" s="14">
        <f t="shared" si="2"/>
        <v>14.265472527472529</v>
      </c>
    </row>
    <row r="77" spans="1:6" ht="18" customHeight="1">
      <c r="A77" s="229" t="s">
        <v>1231</v>
      </c>
      <c r="B77" s="230"/>
      <c r="C77" s="4">
        <f>'TABLICA 4-5'!D120</f>
        <v>0</v>
      </c>
      <c r="D77" s="4">
        <v>0</v>
      </c>
      <c r="E77" s="14">
        <v>0</v>
      </c>
      <c r="F77" s="14" t="e">
        <f t="shared" si="2"/>
        <v>#DIV/0!</v>
      </c>
    </row>
    <row r="78" spans="1:6" ht="18" customHeight="1">
      <c r="A78" s="229" t="s">
        <v>1228</v>
      </c>
      <c r="B78" s="230"/>
      <c r="C78" s="4">
        <v>0</v>
      </c>
      <c r="D78" s="4">
        <v>0</v>
      </c>
      <c r="E78" s="14">
        <v>0</v>
      </c>
      <c r="F78" s="14" t="e">
        <f t="shared" si="2"/>
        <v>#DIV/0!</v>
      </c>
    </row>
    <row r="79" spans="1:6" ht="18" customHeight="1">
      <c r="A79" s="229" t="s">
        <v>1229</v>
      </c>
      <c r="B79" s="230"/>
      <c r="C79" s="4">
        <v>0</v>
      </c>
      <c r="D79" s="4">
        <v>0</v>
      </c>
      <c r="E79" s="14">
        <v>0</v>
      </c>
      <c r="F79" s="14" t="e">
        <f t="shared" si="2"/>
        <v>#DIV/0!</v>
      </c>
    </row>
    <row r="80" spans="1:6" ht="18" customHeight="1">
      <c r="A80" s="229" t="s">
        <v>1234</v>
      </c>
      <c r="B80" s="230"/>
      <c r="C80" s="4">
        <v>0</v>
      </c>
      <c r="D80" s="4">
        <v>0</v>
      </c>
      <c r="E80" s="14">
        <v>0</v>
      </c>
      <c r="F80" s="14" t="e">
        <f t="shared" si="2"/>
        <v>#DIV/0!</v>
      </c>
    </row>
    <row r="81" spans="1:6" ht="21" customHeight="1">
      <c r="A81" s="39">
        <v>42</v>
      </c>
      <c r="B81" s="3" t="s">
        <v>9</v>
      </c>
      <c r="C81" s="4">
        <v>94000</v>
      </c>
      <c r="D81" s="4">
        <v>94000</v>
      </c>
      <c r="E81" s="14">
        <f>E82+E91+E89</f>
        <v>12981.58</v>
      </c>
      <c r="F81" s="14">
        <f>E81/D81*100</f>
        <v>13.810191489361703</v>
      </c>
    </row>
    <row r="82" spans="1:6" ht="18" customHeight="1">
      <c r="A82" s="39">
        <v>422</v>
      </c>
      <c r="B82" s="3" t="s">
        <v>10</v>
      </c>
      <c r="C82" s="4">
        <v>0</v>
      </c>
      <c r="D82" s="4">
        <v>0</v>
      </c>
      <c r="E82" s="14">
        <f>SUM(E83:E88)</f>
        <v>12981.58</v>
      </c>
      <c r="F82" s="14" t="e">
        <f>E82/D82*100</f>
        <v>#DIV/0!</v>
      </c>
    </row>
    <row r="83" spans="1:6" ht="15" customHeight="1">
      <c r="A83" s="39">
        <v>4221</v>
      </c>
      <c r="B83" s="3" t="s">
        <v>11</v>
      </c>
      <c r="C83" s="4"/>
      <c r="D83" s="4">
        <v>0</v>
      </c>
      <c r="E83" s="14">
        <v>12936.48</v>
      </c>
      <c r="F83" s="14" t="e">
        <f>E83/D83*100</f>
        <v>#DIV/0!</v>
      </c>
    </row>
    <row r="84" spans="1:6" ht="15" customHeight="1">
      <c r="A84" s="39">
        <v>4222</v>
      </c>
      <c r="B84" s="3" t="s">
        <v>12</v>
      </c>
      <c r="C84" s="4">
        <v>0</v>
      </c>
      <c r="D84" s="4">
        <v>0</v>
      </c>
      <c r="E84" s="14">
        <v>0</v>
      </c>
      <c r="F84" s="14" t="e">
        <f>E84/D84*100</f>
        <v>#DIV/0!</v>
      </c>
    </row>
    <row r="85" spans="1:6" ht="15" customHeight="1">
      <c r="A85" s="39">
        <v>4223</v>
      </c>
      <c r="B85" s="3" t="s">
        <v>13</v>
      </c>
      <c r="C85" s="4">
        <v>0</v>
      </c>
      <c r="D85" s="4">
        <v>0</v>
      </c>
      <c r="E85" s="14">
        <v>45.1</v>
      </c>
      <c r="F85" s="14" t="e">
        <f aca="true" t="shared" si="3" ref="F85:F93">E85/D85*100</f>
        <v>#DIV/0!</v>
      </c>
    </row>
    <row r="86" spans="1:6" ht="15" customHeight="1">
      <c r="A86" s="39" t="s">
        <v>1299</v>
      </c>
      <c r="B86" s="3" t="s">
        <v>1300</v>
      </c>
      <c r="C86" s="4">
        <v>0</v>
      </c>
      <c r="D86" s="4">
        <v>0</v>
      </c>
      <c r="E86" s="14">
        <v>0</v>
      </c>
      <c r="F86" s="14" t="e">
        <f>E86/D86*100</f>
        <v>#DIV/0!</v>
      </c>
    </row>
    <row r="87" spans="1:6" ht="15" customHeight="1">
      <c r="A87" s="39" t="s">
        <v>600</v>
      </c>
      <c r="B87" s="3" t="s">
        <v>601</v>
      </c>
      <c r="C87" s="4">
        <v>0</v>
      </c>
      <c r="D87" s="4">
        <v>0</v>
      </c>
      <c r="E87" s="14">
        <v>0</v>
      </c>
      <c r="F87" s="14" t="e">
        <f t="shared" si="3"/>
        <v>#DIV/0!</v>
      </c>
    </row>
    <row r="88" spans="1:6" ht="15" customHeight="1">
      <c r="A88" s="39" t="s">
        <v>168</v>
      </c>
      <c r="B88" s="3" t="s">
        <v>743</v>
      </c>
      <c r="C88" s="4">
        <v>0</v>
      </c>
      <c r="D88" s="4">
        <v>0</v>
      </c>
      <c r="E88" s="14">
        <v>0</v>
      </c>
      <c r="F88" s="14" t="e">
        <f t="shared" si="3"/>
        <v>#DIV/0!</v>
      </c>
    </row>
    <row r="89" spans="1:6" ht="18" customHeight="1">
      <c r="A89" s="39" t="s">
        <v>1033</v>
      </c>
      <c r="B89" s="3" t="s">
        <v>1020</v>
      </c>
      <c r="C89" s="4">
        <v>0</v>
      </c>
      <c r="D89" s="4">
        <v>0</v>
      </c>
      <c r="E89" s="14">
        <f>E90</f>
        <v>0</v>
      </c>
      <c r="F89" s="14" t="e">
        <f>E89/D89*100</f>
        <v>#DIV/0!</v>
      </c>
    </row>
    <row r="90" spans="1:6" ht="15" customHeight="1">
      <c r="A90" s="39" t="s">
        <v>1034</v>
      </c>
      <c r="B90" s="3" t="s">
        <v>1035</v>
      </c>
      <c r="C90" s="4"/>
      <c r="D90" s="4"/>
      <c r="E90" s="14">
        <v>0</v>
      </c>
      <c r="F90" s="14" t="e">
        <f>E90/D90*100</f>
        <v>#DIV/0!</v>
      </c>
    </row>
    <row r="91" spans="1:6" ht="18" customHeight="1">
      <c r="A91" s="39">
        <v>426</v>
      </c>
      <c r="B91" s="3" t="s">
        <v>14</v>
      </c>
      <c r="C91" s="4">
        <v>0</v>
      </c>
      <c r="D91" s="4">
        <v>0</v>
      </c>
      <c r="E91" s="14">
        <f>E92</f>
        <v>0</v>
      </c>
      <c r="F91" s="14" t="e">
        <f t="shared" si="3"/>
        <v>#DIV/0!</v>
      </c>
    </row>
    <row r="92" spans="1:6" ht="15" customHeight="1">
      <c r="A92" s="39">
        <v>4262</v>
      </c>
      <c r="B92" s="3" t="s">
        <v>15</v>
      </c>
      <c r="C92" s="4">
        <v>0</v>
      </c>
      <c r="D92" s="4">
        <v>0</v>
      </c>
      <c r="E92" s="14">
        <v>0</v>
      </c>
      <c r="F92" s="14" t="e">
        <f t="shared" si="3"/>
        <v>#DIV/0!</v>
      </c>
    </row>
    <row r="93" spans="1:6" ht="30" customHeight="1">
      <c r="A93" s="258" t="s">
        <v>1123</v>
      </c>
      <c r="B93" s="258"/>
      <c r="C93" s="61">
        <f>C94+C115</f>
        <v>398100</v>
      </c>
      <c r="D93" s="61">
        <f>D94+D115</f>
        <v>398100</v>
      </c>
      <c r="E93" s="129">
        <f>E94+E115</f>
        <v>78149.23</v>
      </c>
      <c r="F93" s="14">
        <f t="shared" si="3"/>
        <v>19.6305526249686</v>
      </c>
    </row>
    <row r="94" spans="1:6" ht="25.5" customHeight="1">
      <c r="A94" s="250" t="s">
        <v>1239</v>
      </c>
      <c r="B94" s="261"/>
      <c r="C94" s="5">
        <f>C102</f>
        <v>240100</v>
      </c>
      <c r="D94" s="5">
        <f>D102</f>
        <v>240100</v>
      </c>
      <c r="E94" s="132">
        <f>E102</f>
        <v>74369.73</v>
      </c>
      <c r="F94" s="14">
        <f t="shared" si="1"/>
        <v>30.97448146605581</v>
      </c>
    </row>
    <row r="95" spans="1:6" ht="25.5" customHeight="1">
      <c r="A95" s="233" t="s">
        <v>1036</v>
      </c>
      <c r="B95" s="234"/>
      <c r="C95" s="62">
        <f>SUM(C96:C101)</f>
        <v>240100</v>
      </c>
      <c r="D95" s="62">
        <f>SUM(D96:D101)</f>
        <v>240100</v>
      </c>
      <c r="E95" s="130">
        <f>SUM(E96:E101)</f>
        <v>74369.73000000001</v>
      </c>
      <c r="F95" s="14">
        <f t="shared" si="1"/>
        <v>30.974481466055813</v>
      </c>
    </row>
    <row r="96" spans="1:6" ht="18" customHeight="1">
      <c r="A96" s="229" t="s">
        <v>1025</v>
      </c>
      <c r="B96" s="230"/>
      <c r="C96" s="4">
        <v>0</v>
      </c>
      <c r="D96" s="4">
        <v>0</v>
      </c>
      <c r="E96" s="14">
        <v>15328.77</v>
      </c>
      <c r="F96" s="14" t="e">
        <f t="shared" si="1"/>
        <v>#DIV/0!</v>
      </c>
    </row>
    <row r="97" spans="1:6" ht="18" customHeight="1">
      <c r="A97" s="229" t="s">
        <v>1227</v>
      </c>
      <c r="B97" s="230"/>
      <c r="C97" s="4">
        <v>200100</v>
      </c>
      <c r="D97" s="4">
        <v>200100</v>
      </c>
      <c r="E97" s="14">
        <v>42185.17</v>
      </c>
      <c r="F97" s="14">
        <f t="shared" si="1"/>
        <v>21.082043978010994</v>
      </c>
    </row>
    <row r="98" spans="1:6" ht="18" customHeight="1">
      <c r="A98" s="229" t="s">
        <v>1231</v>
      </c>
      <c r="B98" s="230"/>
      <c r="C98" s="4">
        <v>40000</v>
      </c>
      <c r="D98" s="4">
        <v>40000</v>
      </c>
      <c r="E98" s="14">
        <v>0</v>
      </c>
      <c r="F98" s="14">
        <f t="shared" si="1"/>
        <v>0</v>
      </c>
    </row>
    <row r="99" spans="1:6" ht="18" customHeight="1">
      <c r="A99" s="229" t="s">
        <v>1228</v>
      </c>
      <c r="B99" s="230"/>
      <c r="C99" s="4">
        <v>0</v>
      </c>
      <c r="D99" s="4">
        <v>0</v>
      </c>
      <c r="E99" s="14">
        <v>16855.79</v>
      </c>
      <c r="F99" s="14" t="e">
        <f t="shared" si="1"/>
        <v>#DIV/0!</v>
      </c>
    </row>
    <row r="100" spans="1:6" ht="18" customHeight="1">
      <c r="A100" s="229" t="s">
        <v>1229</v>
      </c>
      <c r="B100" s="230"/>
      <c r="C100" s="4">
        <v>0</v>
      </c>
      <c r="D100" s="4">
        <v>0</v>
      </c>
      <c r="E100" s="14">
        <v>0</v>
      </c>
      <c r="F100" s="14" t="e">
        <f t="shared" si="1"/>
        <v>#DIV/0!</v>
      </c>
    </row>
    <row r="101" spans="1:6" ht="18" customHeight="1">
      <c r="A101" s="229" t="s">
        <v>1234</v>
      </c>
      <c r="B101" s="230"/>
      <c r="C101" s="4">
        <v>0</v>
      </c>
      <c r="D101" s="4">
        <v>0</v>
      </c>
      <c r="E101" s="14">
        <v>0</v>
      </c>
      <c r="F101" s="14" t="e">
        <f t="shared" si="1"/>
        <v>#DIV/0!</v>
      </c>
    </row>
    <row r="102" spans="1:6" ht="21" customHeight="1">
      <c r="A102" s="39">
        <v>32</v>
      </c>
      <c r="B102" s="3" t="s">
        <v>63</v>
      </c>
      <c r="C102" s="4">
        <v>240100</v>
      </c>
      <c r="D102" s="4">
        <v>240100</v>
      </c>
      <c r="E102" s="14">
        <f>E103+E105+E111</f>
        <v>74369.73</v>
      </c>
      <c r="F102" s="14">
        <f t="shared" si="1"/>
        <v>30.97448146605581</v>
      </c>
    </row>
    <row r="103" spans="1:6" ht="18" customHeight="1">
      <c r="A103" s="39">
        <v>322</v>
      </c>
      <c r="B103" s="3" t="s">
        <v>70</v>
      </c>
      <c r="C103" s="4">
        <v>0</v>
      </c>
      <c r="D103" s="4">
        <v>0</v>
      </c>
      <c r="E103" s="14">
        <f>SUM(E104:E104)</f>
        <v>59.78</v>
      </c>
      <c r="F103" s="14" t="e">
        <f t="shared" si="1"/>
        <v>#DIV/0!</v>
      </c>
    </row>
    <row r="104" spans="1:6" ht="15" customHeight="1">
      <c r="A104" s="39">
        <v>3221</v>
      </c>
      <c r="B104" s="3" t="s">
        <v>603</v>
      </c>
      <c r="C104" s="4"/>
      <c r="D104" s="4"/>
      <c r="E104" s="14">
        <v>59.78</v>
      </c>
      <c r="F104" s="14" t="e">
        <f t="shared" si="1"/>
        <v>#DIV/0!</v>
      </c>
    </row>
    <row r="105" spans="1:6" ht="18" customHeight="1">
      <c r="A105" s="39">
        <v>323</v>
      </c>
      <c r="B105" s="3" t="s">
        <v>72</v>
      </c>
      <c r="C105" s="4">
        <v>0</v>
      </c>
      <c r="D105" s="4">
        <v>0</v>
      </c>
      <c r="E105" s="14">
        <f>SUM(E106:E110)</f>
        <v>69577.72</v>
      </c>
      <c r="F105" s="14" t="e">
        <f t="shared" si="1"/>
        <v>#DIV/0!</v>
      </c>
    </row>
    <row r="106" spans="1:6" ht="15" customHeight="1">
      <c r="A106" s="39" t="s">
        <v>709</v>
      </c>
      <c r="B106" s="3" t="s">
        <v>23</v>
      </c>
      <c r="C106" s="4"/>
      <c r="D106" s="4"/>
      <c r="E106" s="14">
        <v>1360</v>
      </c>
      <c r="F106" s="14" t="e">
        <f>E106/D106*100</f>
        <v>#DIV/0!</v>
      </c>
    </row>
    <row r="107" spans="1:6" ht="15" customHeight="1">
      <c r="A107" s="39">
        <v>3233</v>
      </c>
      <c r="B107" s="3" t="s">
        <v>100</v>
      </c>
      <c r="C107" s="4"/>
      <c r="D107" s="4"/>
      <c r="E107" s="14">
        <v>459.9</v>
      </c>
      <c r="F107" s="14" t="e">
        <f t="shared" si="1"/>
        <v>#DIV/0!</v>
      </c>
    </row>
    <row r="108" spans="1:6" ht="15" customHeight="1">
      <c r="A108" s="39" t="s">
        <v>597</v>
      </c>
      <c r="B108" s="3" t="s">
        <v>598</v>
      </c>
      <c r="C108" s="4"/>
      <c r="D108" s="4"/>
      <c r="E108" s="14">
        <v>13449.09</v>
      </c>
      <c r="F108" s="14" t="e">
        <f>E108/D108*100</f>
        <v>#DIV/0!</v>
      </c>
    </row>
    <row r="109" spans="1:6" ht="15" customHeight="1">
      <c r="A109" s="39">
        <v>3237</v>
      </c>
      <c r="B109" s="3" t="s">
        <v>101</v>
      </c>
      <c r="C109" s="4"/>
      <c r="D109" s="4"/>
      <c r="E109" s="14">
        <v>33535.8</v>
      </c>
      <c r="F109" s="14" t="e">
        <f>E109/D109*100</f>
        <v>#DIV/0!</v>
      </c>
    </row>
    <row r="110" spans="1:6" ht="15" customHeight="1">
      <c r="A110" s="39" t="s">
        <v>337</v>
      </c>
      <c r="B110" s="3" t="s">
        <v>154</v>
      </c>
      <c r="C110" s="4"/>
      <c r="D110" s="4"/>
      <c r="E110" s="14">
        <v>20772.93</v>
      </c>
      <c r="F110" s="14" t="e">
        <f t="shared" si="1"/>
        <v>#DIV/0!</v>
      </c>
    </row>
    <row r="111" spans="1:6" ht="18" customHeight="1">
      <c r="A111" s="39">
        <v>329</v>
      </c>
      <c r="B111" s="3" t="s">
        <v>141</v>
      </c>
      <c r="C111" s="4">
        <v>0</v>
      </c>
      <c r="D111" s="4">
        <v>0</v>
      </c>
      <c r="E111" s="14">
        <f>SUM(E112:E114)</f>
        <v>4732.23</v>
      </c>
      <c r="F111" s="14" t="e">
        <f t="shared" si="1"/>
        <v>#DIV/0!</v>
      </c>
    </row>
    <row r="112" spans="1:6" ht="15" customHeight="1">
      <c r="A112" s="39" t="s">
        <v>716</v>
      </c>
      <c r="B112" s="3" t="s">
        <v>4</v>
      </c>
      <c r="C112" s="4"/>
      <c r="D112" s="4"/>
      <c r="E112" s="14">
        <v>0</v>
      </c>
      <c r="F112" s="14" t="e">
        <f>E112/D112*100</f>
        <v>#DIV/0!</v>
      </c>
    </row>
    <row r="113" spans="1:6" ht="15" customHeight="1">
      <c r="A113" s="39">
        <v>3293</v>
      </c>
      <c r="B113" s="3" t="s">
        <v>103</v>
      </c>
      <c r="C113" s="4"/>
      <c r="D113" s="4"/>
      <c r="E113" s="14">
        <v>2804.63</v>
      </c>
      <c r="F113" s="14" t="e">
        <f t="shared" si="1"/>
        <v>#DIV/0!</v>
      </c>
    </row>
    <row r="114" spans="1:6" ht="15" customHeight="1">
      <c r="A114" s="39">
        <v>3299</v>
      </c>
      <c r="B114" s="3" t="s">
        <v>104</v>
      </c>
      <c r="C114" s="4"/>
      <c r="D114" s="4"/>
      <c r="E114" s="14">
        <v>1927.6</v>
      </c>
      <c r="F114" s="14" t="e">
        <f t="shared" si="1"/>
        <v>#DIV/0!</v>
      </c>
    </row>
    <row r="115" spans="1:6" ht="25.5" customHeight="1">
      <c r="A115" s="250" t="s">
        <v>1354</v>
      </c>
      <c r="B115" s="261"/>
      <c r="C115" s="5">
        <f>C124+C128</f>
        <v>158000</v>
      </c>
      <c r="D115" s="5">
        <f>D124+D128</f>
        <v>158000</v>
      </c>
      <c r="E115" s="132">
        <f>E124+E128</f>
        <v>3779.5</v>
      </c>
      <c r="F115" s="14">
        <f aca="true" t="shared" si="4" ref="F115:F125">E115/D115*100</f>
        <v>2.392088607594937</v>
      </c>
    </row>
    <row r="116" spans="1:6" ht="25.5" customHeight="1">
      <c r="A116" s="233" t="s">
        <v>1355</v>
      </c>
      <c r="B116" s="234"/>
      <c r="C116" s="62">
        <f>SUM(C117:C123)</f>
        <v>158000</v>
      </c>
      <c r="D116" s="62">
        <f>SUM(D117:D123)</f>
        <v>68000</v>
      </c>
      <c r="E116" s="130">
        <f>SUM(E117:E123)</f>
        <v>3779.5</v>
      </c>
      <c r="F116" s="14">
        <f t="shared" si="4"/>
        <v>5.558088235294117</v>
      </c>
    </row>
    <row r="117" spans="1:6" ht="18" customHeight="1">
      <c r="A117" s="229" t="s">
        <v>1025</v>
      </c>
      <c r="B117" s="230"/>
      <c r="C117" s="4">
        <v>0</v>
      </c>
      <c r="D117" s="4">
        <v>0</v>
      </c>
      <c r="E117" s="14">
        <v>3779.5</v>
      </c>
      <c r="F117" s="14" t="e">
        <f t="shared" si="4"/>
        <v>#DIV/0!</v>
      </c>
    </row>
    <row r="118" spans="1:6" ht="18" customHeight="1">
      <c r="A118" s="229" t="s">
        <v>1227</v>
      </c>
      <c r="B118" s="230"/>
      <c r="C118" s="4">
        <v>43000</v>
      </c>
      <c r="D118" s="4">
        <v>43000</v>
      </c>
      <c r="E118" s="14">
        <v>0</v>
      </c>
      <c r="F118" s="14">
        <f t="shared" si="4"/>
        <v>0</v>
      </c>
    </row>
    <row r="119" spans="1:6" ht="18" customHeight="1">
      <c r="A119" s="229" t="s">
        <v>1231</v>
      </c>
      <c r="B119" s="230"/>
      <c r="C119" s="4">
        <v>100000</v>
      </c>
      <c r="D119" s="4">
        <v>10000</v>
      </c>
      <c r="E119" s="14">
        <v>0</v>
      </c>
      <c r="F119" s="14">
        <f t="shared" si="4"/>
        <v>0</v>
      </c>
    </row>
    <row r="120" spans="1:6" ht="18" customHeight="1">
      <c r="A120" s="229" t="s">
        <v>1228</v>
      </c>
      <c r="B120" s="230"/>
      <c r="C120" s="4">
        <v>0</v>
      </c>
      <c r="D120" s="4">
        <v>0</v>
      </c>
      <c r="E120" s="14">
        <v>0</v>
      </c>
      <c r="F120" s="14" t="e">
        <f t="shared" si="4"/>
        <v>#DIV/0!</v>
      </c>
    </row>
    <row r="121" spans="1:6" ht="18" customHeight="1">
      <c r="A121" s="229" t="s">
        <v>1229</v>
      </c>
      <c r="B121" s="230"/>
      <c r="C121" s="4">
        <v>0</v>
      </c>
      <c r="D121" s="4">
        <v>0</v>
      </c>
      <c r="E121" s="14">
        <v>0</v>
      </c>
      <c r="F121" s="14" t="e">
        <f t="shared" si="4"/>
        <v>#DIV/0!</v>
      </c>
    </row>
    <row r="122" spans="1:6" ht="18" customHeight="1">
      <c r="A122" s="229" t="s">
        <v>1234</v>
      </c>
      <c r="B122" s="230"/>
      <c r="C122" s="4">
        <v>0</v>
      </c>
      <c r="D122" s="4">
        <v>0</v>
      </c>
      <c r="E122" s="14">
        <v>0</v>
      </c>
      <c r="F122" s="14" t="e">
        <f t="shared" si="4"/>
        <v>#DIV/0!</v>
      </c>
    </row>
    <row r="123" spans="1:6" ht="18" customHeight="1">
      <c r="A123" s="229" t="s">
        <v>1419</v>
      </c>
      <c r="B123" s="230"/>
      <c r="C123" s="4">
        <v>15000</v>
      </c>
      <c r="D123" s="4">
        <v>15000</v>
      </c>
      <c r="E123" s="14">
        <v>0</v>
      </c>
      <c r="F123" s="14">
        <f>E123/D123*100</f>
        <v>0</v>
      </c>
    </row>
    <row r="124" spans="1:6" ht="21" customHeight="1">
      <c r="A124" s="39">
        <v>32</v>
      </c>
      <c r="B124" s="3" t="s">
        <v>63</v>
      </c>
      <c r="C124" s="4">
        <v>58000</v>
      </c>
      <c r="D124" s="4">
        <v>58000</v>
      </c>
      <c r="E124" s="14">
        <f>E125</f>
        <v>3779.5</v>
      </c>
      <c r="F124" s="14">
        <f t="shared" si="4"/>
        <v>6.516379310344828</v>
      </c>
    </row>
    <row r="125" spans="1:6" ht="18" customHeight="1">
      <c r="A125" s="39">
        <v>323</v>
      </c>
      <c r="B125" s="3" t="s">
        <v>72</v>
      </c>
      <c r="C125" s="4">
        <v>0</v>
      </c>
      <c r="D125" s="4">
        <v>0</v>
      </c>
      <c r="E125" s="14">
        <f>SUM(E126:E127)</f>
        <v>3779.5</v>
      </c>
      <c r="F125" s="14" t="e">
        <f t="shared" si="4"/>
        <v>#DIV/0!</v>
      </c>
    </row>
    <row r="126" spans="1:6" ht="15" customHeight="1">
      <c r="A126" s="39">
        <v>3233</v>
      </c>
      <c r="B126" s="3" t="s">
        <v>100</v>
      </c>
      <c r="C126" s="4"/>
      <c r="D126" s="4"/>
      <c r="E126" s="14">
        <v>3779.5</v>
      </c>
      <c r="F126" s="14" t="e">
        <f>E126/D126*100</f>
        <v>#DIV/0!</v>
      </c>
    </row>
    <row r="127" spans="1:6" ht="15" customHeight="1">
      <c r="A127" s="39">
        <v>3237</v>
      </c>
      <c r="B127" s="3" t="s">
        <v>101</v>
      </c>
      <c r="C127" s="4"/>
      <c r="D127" s="4"/>
      <c r="E127" s="14">
        <v>0</v>
      </c>
      <c r="F127" s="14" t="e">
        <f>E127/D127*100</f>
        <v>#DIV/0!</v>
      </c>
    </row>
    <row r="128" spans="1:6" ht="21" customHeight="1">
      <c r="A128" s="39">
        <v>38</v>
      </c>
      <c r="B128" s="70" t="s">
        <v>556</v>
      </c>
      <c r="C128" s="4">
        <v>100000</v>
      </c>
      <c r="D128" s="4">
        <v>100000</v>
      </c>
      <c r="E128" s="14">
        <f>E129</f>
        <v>0</v>
      </c>
      <c r="F128" s="14">
        <f t="shared" si="1"/>
        <v>0</v>
      </c>
    </row>
    <row r="129" spans="1:6" ht="18" customHeight="1">
      <c r="A129" s="39">
        <v>381</v>
      </c>
      <c r="B129" s="70" t="s">
        <v>67</v>
      </c>
      <c r="C129" s="4">
        <v>0</v>
      </c>
      <c r="D129" s="4">
        <v>0</v>
      </c>
      <c r="E129" s="14">
        <f>E130</f>
        <v>0</v>
      </c>
      <c r="F129" s="14" t="e">
        <f t="shared" si="1"/>
        <v>#DIV/0!</v>
      </c>
    </row>
    <row r="130" spans="1:6" ht="15" customHeight="1">
      <c r="A130" s="39">
        <v>3811</v>
      </c>
      <c r="B130" s="72" t="s">
        <v>996</v>
      </c>
      <c r="C130" s="4">
        <v>0</v>
      </c>
      <c r="D130" s="4"/>
      <c r="E130" s="14">
        <v>0</v>
      </c>
      <c r="F130" s="14" t="e">
        <f t="shared" si="1"/>
        <v>#DIV/0!</v>
      </c>
    </row>
    <row r="131" spans="1:6" ht="30" customHeight="1">
      <c r="A131" s="258" t="s">
        <v>672</v>
      </c>
      <c r="B131" s="258"/>
      <c r="C131" s="61">
        <f>C132</f>
        <v>281500</v>
      </c>
      <c r="D131" s="61">
        <f>D132</f>
        <v>281500</v>
      </c>
      <c r="E131" s="129">
        <f>E132</f>
        <v>163591.32</v>
      </c>
      <c r="F131" s="14">
        <f>E131/D131*100</f>
        <v>58.11414564831261</v>
      </c>
    </row>
    <row r="132" spans="1:6" ht="25.5" customHeight="1">
      <c r="A132" s="259" t="s">
        <v>673</v>
      </c>
      <c r="B132" s="260"/>
      <c r="C132" s="5">
        <f>C141+C155</f>
        <v>281500</v>
      </c>
      <c r="D132" s="5">
        <f>D141+D155</f>
        <v>281500</v>
      </c>
      <c r="E132" s="132">
        <f>E141+E155</f>
        <v>163591.32</v>
      </c>
      <c r="F132" s="14">
        <f t="shared" si="1"/>
        <v>58.11414564831261</v>
      </c>
    </row>
    <row r="133" spans="1:6" ht="25.5" customHeight="1">
      <c r="A133" s="233" t="s">
        <v>1037</v>
      </c>
      <c r="B133" s="234"/>
      <c r="C133" s="62">
        <f>SUM(C134:C140)</f>
        <v>281500</v>
      </c>
      <c r="D133" s="62">
        <f>SUM(D134:D140)</f>
        <v>281500</v>
      </c>
      <c r="E133" s="130">
        <f>SUM(E134:E140)</f>
        <v>76091.57</v>
      </c>
      <c r="F133" s="14">
        <f aca="true" t="shared" si="5" ref="F133:F139">E133/D133*100</f>
        <v>27.030753108348136</v>
      </c>
    </row>
    <row r="134" spans="1:6" ht="18" customHeight="1">
      <c r="A134" s="229" t="s">
        <v>1025</v>
      </c>
      <c r="B134" s="230"/>
      <c r="C134" s="4">
        <v>191500</v>
      </c>
      <c r="D134" s="4">
        <v>191500</v>
      </c>
      <c r="E134" s="14">
        <v>0</v>
      </c>
      <c r="F134" s="14">
        <f t="shared" si="5"/>
        <v>0</v>
      </c>
    </row>
    <row r="135" spans="1:6" ht="18" customHeight="1">
      <c r="A135" s="229" t="s">
        <v>1227</v>
      </c>
      <c r="B135" s="230"/>
      <c r="C135" s="4">
        <v>60000</v>
      </c>
      <c r="D135" s="4">
        <v>60000</v>
      </c>
      <c r="E135" s="14">
        <v>76091.57</v>
      </c>
      <c r="F135" s="14">
        <f t="shared" si="5"/>
        <v>126.81928333333335</v>
      </c>
    </row>
    <row r="136" spans="1:6" ht="18" customHeight="1">
      <c r="A136" s="229" t="s">
        <v>1231</v>
      </c>
      <c r="B136" s="230"/>
      <c r="C136" s="4">
        <v>0</v>
      </c>
      <c r="D136" s="4">
        <v>0</v>
      </c>
      <c r="E136" s="14">
        <v>0</v>
      </c>
      <c r="F136" s="14" t="e">
        <f t="shared" si="5"/>
        <v>#DIV/0!</v>
      </c>
    </row>
    <row r="137" spans="1:6" ht="18" customHeight="1">
      <c r="A137" s="229" t="s">
        <v>1228</v>
      </c>
      <c r="B137" s="230"/>
      <c r="C137" s="4">
        <v>0</v>
      </c>
      <c r="D137" s="4">
        <v>0</v>
      </c>
      <c r="E137" s="14">
        <v>0</v>
      </c>
      <c r="F137" s="14" t="e">
        <f t="shared" si="5"/>
        <v>#DIV/0!</v>
      </c>
    </row>
    <row r="138" spans="1:6" ht="18" customHeight="1">
      <c r="A138" s="229" t="s">
        <v>1229</v>
      </c>
      <c r="B138" s="230"/>
      <c r="C138" s="4">
        <v>0</v>
      </c>
      <c r="D138" s="4">
        <v>0</v>
      </c>
      <c r="E138" s="14">
        <v>0</v>
      </c>
      <c r="F138" s="14" t="e">
        <f t="shared" si="5"/>
        <v>#DIV/0!</v>
      </c>
    </row>
    <row r="139" spans="1:6" ht="18" customHeight="1">
      <c r="A139" s="229" t="s">
        <v>1234</v>
      </c>
      <c r="B139" s="230"/>
      <c r="C139" s="4">
        <v>0</v>
      </c>
      <c r="D139" s="4">
        <v>0</v>
      </c>
      <c r="E139" s="14">
        <v>0</v>
      </c>
      <c r="F139" s="14" t="e">
        <f t="shared" si="5"/>
        <v>#DIV/0!</v>
      </c>
    </row>
    <row r="140" spans="1:6" ht="18" customHeight="1">
      <c r="A140" s="229" t="s">
        <v>1419</v>
      </c>
      <c r="B140" s="230"/>
      <c r="C140" s="4">
        <v>30000</v>
      </c>
      <c r="D140" s="4">
        <v>30000</v>
      </c>
      <c r="E140" s="14">
        <v>0</v>
      </c>
      <c r="F140" s="14">
        <f>E140/D140*100</f>
        <v>0</v>
      </c>
    </row>
    <row r="141" spans="1:6" ht="21" customHeight="1">
      <c r="A141" s="39">
        <v>32</v>
      </c>
      <c r="B141" s="3" t="s">
        <v>271</v>
      </c>
      <c r="C141" s="4">
        <v>268200</v>
      </c>
      <c r="D141" s="4">
        <v>268200</v>
      </c>
      <c r="E141" s="14">
        <f>E142+E147+E149</f>
        <v>160516.2</v>
      </c>
      <c r="F141" s="14">
        <f t="shared" si="1"/>
        <v>59.849440715883674</v>
      </c>
    </row>
    <row r="142" spans="1:6" ht="18" customHeight="1">
      <c r="A142" s="39">
        <v>323</v>
      </c>
      <c r="B142" s="3" t="s">
        <v>0</v>
      </c>
      <c r="C142" s="4">
        <v>0</v>
      </c>
      <c r="D142" s="4">
        <v>0</v>
      </c>
      <c r="E142" s="14">
        <f>SUM(E143:E146)</f>
        <v>117194.42000000001</v>
      </c>
      <c r="F142" s="14" t="e">
        <f t="shared" si="1"/>
        <v>#DIV/0!</v>
      </c>
    </row>
    <row r="143" spans="1:6" ht="15" customHeight="1">
      <c r="A143" s="39">
        <v>3233</v>
      </c>
      <c r="B143" s="3" t="s">
        <v>1</v>
      </c>
      <c r="C143" s="4"/>
      <c r="D143" s="4"/>
      <c r="E143" s="14">
        <v>5517.53</v>
      </c>
      <c r="F143" s="14" t="e">
        <f t="shared" si="1"/>
        <v>#DIV/0!</v>
      </c>
    </row>
    <row r="144" spans="1:6" ht="15" customHeight="1">
      <c r="A144" s="39" t="s">
        <v>35</v>
      </c>
      <c r="B144" s="3" t="s">
        <v>36</v>
      </c>
      <c r="C144" s="4"/>
      <c r="D144" s="4"/>
      <c r="E144" s="14">
        <v>95585.32</v>
      </c>
      <c r="F144" s="14" t="e">
        <f t="shared" si="1"/>
        <v>#DIV/0!</v>
      </c>
    </row>
    <row r="145" spans="1:6" ht="15" customHeight="1">
      <c r="A145" s="39" t="s">
        <v>674</v>
      </c>
      <c r="B145" s="3" t="s">
        <v>570</v>
      </c>
      <c r="C145" s="4"/>
      <c r="D145" s="4"/>
      <c r="E145" s="14">
        <v>0</v>
      </c>
      <c r="F145" s="14" t="e">
        <f>E145/D145*100</f>
        <v>#DIV/0!</v>
      </c>
    </row>
    <row r="146" spans="1:6" ht="15" customHeight="1">
      <c r="A146" s="39">
        <v>3239</v>
      </c>
      <c r="B146" s="3" t="s">
        <v>2</v>
      </c>
      <c r="C146" s="4"/>
      <c r="D146" s="4"/>
      <c r="E146" s="14">
        <v>16091.57</v>
      </c>
      <c r="F146" s="14" t="e">
        <f t="shared" si="1"/>
        <v>#DIV/0!</v>
      </c>
    </row>
    <row r="147" spans="1:6" ht="18" customHeight="1">
      <c r="A147" s="39" t="s">
        <v>300</v>
      </c>
      <c r="B147" s="66" t="s">
        <v>301</v>
      </c>
      <c r="C147" s="4">
        <v>0</v>
      </c>
      <c r="D147" s="4">
        <v>0</v>
      </c>
      <c r="E147" s="14">
        <f>E148</f>
        <v>0</v>
      </c>
      <c r="F147" s="14" t="e">
        <f>E147/D147*100</f>
        <v>#DIV/0!</v>
      </c>
    </row>
    <row r="148" spans="1:6" ht="15" customHeight="1">
      <c r="A148" s="39" t="s">
        <v>302</v>
      </c>
      <c r="B148" s="70" t="s">
        <v>342</v>
      </c>
      <c r="C148" s="4"/>
      <c r="D148" s="4"/>
      <c r="E148" s="14">
        <v>0</v>
      </c>
      <c r="F148" s="14" t="e">
        <f>E148/D148*100</f>
        <v>#DIV/0!</v>
      </c>
    </row>
    <row r="149" spans="1:6" ht="18" customHeight="1">
      <c r="A149" s="39">
        <v>329</v>
      </c>
      <c r="B149" s="3" t="s">
        <v>3</v>
      </c>
      <c r="C149" s="4">
        <v>0</v>
      </c>
      <c r="D149" s="4">
        <v>0</v>
      </c>
      <c r="E149" s="14">
        <f>SUM(E150:E154)</f>
        <v>43321.78</v>
      </c>
      <c r="F149" s="14" t="e">
        <f t="shared" si="1"/>
        <v>#DIV/0!</v>
      </c>
    </row>
    <row r="150" spans="1:6" ht="15" customHeight="1">
      <c r="A150" s="39">
        <v>3292</v>
      </c>
      <c r="B150" s="3" t="s">
        <v>4</v>
      </c>
      <c r="C150" s="4"/>
      <c r="D150" s="4"/>
      <c r="E150" s="14">
        <v>16684.61</v>
      </c>
      <c r="F150" s="14" t="e">
        <f t="shared" si="1"/>
        <v>#DIV/0!</v>
      </c>
    </row>
    <row r="151" spans="1:6" ht="15" customHeight="1">
      <c r="A151" s="39">
        <v>3294</v>
      </c>
      <c r="B151" s="3" t="s">
        <v>599</v>
      </c>
      <c r="C151" s="4"/>
      <c r="D151" s="4"/>
      <c r="E151" s="14">
        <v>13118.5</v>
      </c>
      <c r="F151" s="14" t="e">
        <f t="shared" si="1"/>
        <v>#DIV/0!</v>
      </c>
    </row>
    <row r="152" spans="1:6" ht="15" customHeight="1">
      <c r="A152" s="39" t="s">
        <v>331</v>
      </c>
      <c r="B152" s="3" t="s">
        <v>335</v>
      </c>
      <c r="C152" s="4"/>
      <c r="D152" s="4"/>
      <c r="E152" s="14">
        <v>3385.03</v>
      </c>
      <c r="F152" s="14" t="e">
        <f t="shared" si="1"/>
        <v>#DIV/0!</v>
      </c>
    </row>
    <row r="153" spans="1:6" ht="15" customHeight="1">
      <c r="A153" s="39" t="s">
        <v>675</v>
      </c>
      <c r="B153" s="3" t="s">
        <v>676</v>
      </c>
      <c r="C153" s="4"/>
      <c r="D153" s="4"/>
      <c r="E153" s="14">
        <v>8087.8</v>
      </c>
      <c r="F153" s="14" t="e">
        <f>E153/D153*100</f>
        <v>#DIV/0!</v>
      </c>
    </row>
    <row r="154" spans="1:6" ht="15" customHeight="1">
      <c r="A154" s="39">
        <v>3299</v>
      </c>
      <c r="B154" s="3" t="s">
        <v>5</v>
      </c>
      <c r="C154" s="4"/>
      <c r="D154" s="4"/>
      <c r="E154" s="14">
        <v>2045.84</v>
      </c>
      <c r="F154" s="14" t="e">
        <f t="shared" si="1"/>
        <v>#DIV/0!</v>
      </c>
    </row>
    <row r="155" spans="1:6" ht="21" customHeight="1">
      <c r="A155" s="39">
        <v>38</v>
      </c>
      <c r="B155" s="3" t="s">
        <v>6</v>
      </c>
      <c r="C155" s="4">
        <v>13300</v>
      </c>
      <c r="D155" s="4">
        <v>13300</v>
      </c>
      <c r="E155" s="14">
        <f>E156+E158</f>
        <v>3075.12</v>
      </c>
      <c r="F155" s="14">
        <f aca="true" t="shared" si="6" ref="F155:F194">E155/D155*100</f>
        <v>23.121203007518794</v>
      </c>
    </row>
    <row r="156" spans="1:6" ht="18" customHeight="1">
      <c r="A156" s="39" t="s">
        <v>989</v>
      </c>
      <c r="B156" s="3" t="s">
        <v>991</v>
      </c>
      <c r="C156" s="4">
        <v>0</v>
      </c>
      <c r="D156" s="4">
        <v>0</v>
      </c>
      <c r="E156" s="14">
        <f>E157</f>
        <v>3075.12</v>
      </c>
      <c r="F156" s="14" t="e">
        <f t="shared" si="6"/>
        <v>#DIV/0!</v>
      </c>
    </row>
    <row r="157" spans="1:6" ht="15" customHeight="1">
      <c r="A157" s="39" t="s">
        <v>990</v>
      </c>
      <c r="B157" s="3" t="s">
        <v>992</v>
      </c>
      <c r="C157" s="4"/>
      <c r="D157" s="4"/>
      <c r="E157" s="14">
        <v>3075.12</v>
      </c>
      <c r="F157" s="14" t="e">
        <f t="shared" si="6"/>
        <v>#DIV/0!</v>
      </c>
    </row>
    <row r="158" spans="1:6" ht="18" customHeight="1">
      <c r="A158" s="39">
        <v>385</v>
      </c>
      <c r="B158" s="3" t="s">
        <v>7</v>
      </c>
      <c r="C158" s="4">
        <v>0</v>
      </c>
      <c r="D158" s="4">
        <v>0</v>
      </c>
      <c r="E158" s="14">
        <f>E159</f>
        <v>0</v>
      </c>
      <c r="F158" s="14" t="e">
        <f t="shared" si="6"/>
        <v>#DIV/0!</v>
      </c>
    </row>
    <row r="159" spans="1:6" ht="15" customHeight="1">
      <c r="A159" s="39">
        <v>3851</v>
      </c>
      <c r="B159" s="3" t="s">
        <v>8</v>
      </c>
      <c r="C159" s="4"/>
      <c r="D159" s="4"/>
      <c r="E159" s="14">
        <v>0</v>
      </c>
      <c r="F159" s="14" t="e">
        <f t="shared" si="6"/>
        <v>#DIV/0!</v>
      </c>
    </row>
    <row r="160" spans="1:6" ht="30" customHeight="1">
      <c r="A160" s="235" t="s">
        <v>1240</v>
      </c>
      <c r="B160" s="236"/>
      <c r="C160" s="61">
        <f>C161+C177</f>
        <v>707065</v>
      </c>
      <c r="D160" s="61">
        <f>D161+D177</f>
        <v>707065</v>
      </c>
      <c r="E160" s="129">
        <f>E161+E177</f>
        <v>25318.49</v>
      </c>
      <c r="F160" s="14">
        <f t="shared" si="6"/>
        <v>3.5807867734932435</v>
      </c>
    </row>
    <row r="161" spans="1:6" ht="25.5" customHeight="1">
      <c r="A161" s="237" t="s">
        <v>1356</v>
      </c>
      <c r="B161" s="238"/>
      <c r="C161" s="5">
        <f>C172</f>
        <v>689565</v>
      </c>
      <c r="D161" s="5">
        <f>D172</f>
        <v>689565</v>
      </c>
      <c r="E161" s="132">
        <f>E172+E169</f>
        <v>18899.4</v>
      </c>
      <c r="F161" s="14">
        <f aca="true" t="shared" si="7" ref="F161:F176">E161/D161*100</f>
        <v>2.740771355854778</v>
      </c>
    </row>
    <row r="162" spans="1:6" ht="25.5" customHeight="1">
      <c r="A162" s="233" t="s">
        <v>1241</v>
      </c>
      <c r="B162" s="234"/>
      <c r="C162" s="62">
        <f>SUM(C163:C168)</f>
        <v>707065</v>
      </c>
      <c r="D162" s="62">
        <f>SUM(D163:D168)</f>
        <v>707065</v>
      </c>
      <c r="E162" s="130">
        <f>SUM(E163:E168)</f>
        <v>18899.4</v>
      </c>
      <c r="F162" s="14">
        <f t="shared" si="7"/>
        <v>2.6729367172749328</v>
      </c>
    </row>
    <row r="163" spans="1:6" ht="18" customHeight="1">
      <c r="A163" s="229" t="s">
        <v>1025</v>
      </c>
      <c r="B163" s="230"/>
      <c r="C163" s="4">
        <v>707065</v>
      </c>
      <c r="D163" s="4">
        <v>707065</v>
      </c>
      <c r="E163" s="14">
        <v>18899.4</v>
      </c>
      <c r="F163" s="14">
        <f t="shared" si="7"/>
        <v>2.6729367172749328</v>
      </c>
    </row>
    <row r="164" spans="1:6" ht="18" customHeight="1">
      <c r="A164" s="229" t="s">
        <v>1227</v>
      </c>
      <c r="B164" s="230"/>
      <c r="C164" s="4">
        <v>0</v>
      </c>
      <c r="D164" s="4">
        <v>0</v>
      </c>
      <c r="E164" s="14">
        <v>0</v>
      </c>
      <c r="F164" s="14" t="e">
        <f t="shared" si="7"/>
        <v>#DIV/0!</v>
      </c>
    </row>
    <row r="165" spans="1:6" ht="18" customHeight="1">
      <c r="A165" s="229" t="s">
        <v>1231</v>
      </c>
      <c r="B165" s="230"/>
      <c r="C165" s="4">
        <v>0</v>
      </c>
      <c r="D165" s="4">
        <v>0</v>
      </c>
      <c r="E165" s="14">
        <v>0</v>
      </c>
      <c r="F165" s="14" t="e">
        <f t="shared" si="7"/>
        <v>#DIV/0!</v>
      </c>
    </row>
    <row r="166" spans="1:6" ht="18" customHeight="1">
      <c r="A166" s="229" t="s">
        <v>1228</v>
      </c>
      <c r="B166" s="230"/>
      <c r="C166" s="4">
        <v>0</v>
      </c>
      <c r="D166" s="4">
        <v>0</v>
      </c>
      <c r="E166" s="14">
        <v>0</v>
      </c>
      <c r="F166" s="14" t="e">
        <f t="shared" si="7"/>
        <v>#DIV/0!</v>
      </c>
    </row>
    <row r="167" spans="1:6" ht="18" customHeight="1">
      <c r="A167" s="229" t="s">
        <v>1229</v>
      </c>
      <c r="B167" s="230"/>
      <c r="C167" s="4">
        <v>0</v>
      </c>
      <c r="D167" s="4">
        <v>0</v>
      </c>
      <c r="E167" s="14">
        <v>0</v>
      </c>
      <c r="F167" s="14" t="e">
        <f t="shared" si="7"/>
        <v>#DIV/0!</v>
      </c>
    </row>
    <row r="168" spans="1:6" ht="18" customHeight="1">
      <c r="A168" s="229" t="s">
        <v>1234</v>
      </c>
      <c r="B168" s="230"/>
      <c r="C168" s="4">
        <v>0</v>
      </c>
      <c r="D168" s="4">
        <v>0</v>
      </c>
      <c r="E168" s="14">
        <v>0</v>
      </c>
      <c r="F168" s="14" t="e">
        <f t="shared" si="7"/>
        <v>#DIV/0!</v>
      </c>
    </row>
    <row r="169" spans="1:6" ht="21" customHeight="1">
      <c r="A169" s="39" t="s">
        <v>803</v>
      </c>
      <c r="B169" s="161" t="s">
        <v>1328</v>
      </c>
      <c r="C169" s="4">
        <f aca="true" t="shared" si="8" ref="C169:E170">C170</f>
        <v>0</v>
      </c>
      <c r="D169" s="4">
        <f t="shared" si="8"/>
        <v>0</v>
      </c>
      <c r="E169" s="14">
        <f t="shared" si="8"/>
        <v>0</v>
      </c>
      <c r="F169" s="14" t="e">
        <f>E169/D169*100</f>
        <v>#DIV/0!</v>
      </c>
    </row>
    <row r="170" spans="1:6" ht="27.75" customHeight="1">
      <c r="A170" s="39" t="s">
        <v>1337</v>
      </c>
      <c r="B170" s="159" t="s">
        <v>1331</v>
      </c>
      <c r="C170" s="4">
        <f t="shared" si="8"/>
        <v>0</v>
      </c>
      <c r="D170" s="4">
        <f t="shared" si="8"/>
        <v>0</v>
      </c>
      <c r="E170" s="14">
        <f t="shared" si="8"/>
        <v>0</v>
      </c>
      <c r="F170" s="14" t="e">
        <f>E170/D170*100</f>
        <v>#DIV/0!</v>
      </c>
    </row>
    <row r="171" spans="1:6" ht="24" customHeight="1">
      <c r="A171" s="39" t="s">
        <v>1329</v>
      </c>
      <c r="B171" s="160" t="s">
        <v>1330</v>
      </c>
      <c r="C171" s="4"/>
      <c r="D171" s="4"/>
      <c r="E171" s="14">
        <v>0</v>
      </c>
      <c r="F171" s="14" t="e">
        <f>E171/D171*100</f>
        <v>#DIV/0!</v>
      </c>
    </row>
    <row r="172" spans="1:6" ht="21" customHeight="1">
      <c r="A172" s="39" t="s">
        <v>1242</v>
      </c>
      <c r="B172" s="19" t="s">
        <v>1243</v>
      </c>
      <c r="C172" s="4">
        <v>689565</v>
      </c>
      <c r="D172" s="4">
        <v>689565</v>
      </c>
      <c r="E172" s="14">
        <f>E175+E173</f>
        <v>18899.4</v>
      </c>
      <c r="F172" s="14">
        <f t="shared" si="7"/>
        <v>2.740771355854778</v>
      </c>
    </row>
    <row r="173" spans="1:6" ht="27.75" customHeight="1">
      <c r="A173" s="39" t="s">
        <v>1333</v>
      </c>
      <c r="B173" s="159" t="s">
        <v>1182</v>
      </c>
      <c r="C173" s="4">
        <v>0</v>
      </c>
      <c r="D173" s="4">
        <v>0</v>
      </c>
      <c r="E173" s="14">
        <f>E174</f>
        <v>18899.4</v>
      </c>
      <c r="F173" s="14" t="e">
        <f>E173/D173*100</f>
        <v>#DIV/0!</v>
      </c>
    </row>
    <row r="174" spans="1:6" ht="24" customHeight="1">
      <c r="A174" s="39" t="s">
        <v>1334</v>
      </c>
      <c r="B174" s="160" t="s">
        <v>1181</v>
      </c>
      <c r="C174" s="4"/>
      <c r="D174" s="4"/>
      <c r="E174" s="14">
        <v>18899.4</v>
      </c>
      <c r="F174" s="14" t="e">
        <f>E174/D174*100</f>
        <v>#DIV/0!</v>
      </c>
    </row>
    <row r="175" spans="1:6" ht="24.75" customHeight="1">
      <c r="A175" s="39" t="s">
        <v>1335</v>
      </c>
      <c r="B175" s="159" t="s">
        <v>1325</v>
      </c>
      <c r="C175" s="4">
        <v>0</v>
      </c>
      <c r="D175" s="4">
        <v>0</v>
      </c>
      <c r="E175" s="14">
        <f>E176</f>
        <v>0</v>
      </c>
      <c r="F175" s="14" t="e">
        <f t="shared" si="7"/>
        <v>#DIV/0!</v>
      </c>
    </row>
    <row r="176" spans="1:6" ht="24" customHeight="1">
      <c r="A176" s="39" t="s">
        <v>1336</v>
      </c>
      <c r="B176" s="96" t="s">
        <v>1326</v>
      </c>
      <c r="C176" s="4">
        <v>0</v>
      </c>
      <c r="D176" s="4">
        <v>0</v>
      </c>
      <c r="E176" s="14">
        <v>0</v>
      </c>
      <c r="F176" s="14" t="e">
        <f t="shared" si="7"/>
        <v>#DIV/0!</v>
      </c>
    </row>
    <row r="177" spans="1:6" ht="25.5" customHeight="1">
      <c r="A177" s="237" t="s">
        <v>677</v>
      </c>
      <c r="B177" s="238"/>
      <c r="C177" s="5">
        <f>C185</f>
        <v>17500</v>
      </c>
      <c r="D177" s="5">
        <f>D185</f>
        <v>17500</v>
      </c>
      <c r="E177" s="132">
        <f>E185</f>
        <v>6419.089999999999</v>
      </c>
      <c r="F177" s="14">
        <f t="shared" si="6"/>
        <v>36.68051428571428</v>
      </c>
    </row>
    <row r="178" spans="1:6" ht="25.5" customHeight="1">
      <c r="A178" s="233" t="s">
        <v>1038</v>
      </c>
      <c r="B178" s="234"/>
      <c r="C178" s="62">
        <f>SUM(C179:C184)</f>
        <v>17500</v>
      </c>
      <c r="D178" s="62">
        <f>SUM(D179:D184)</f>
        <v>17500</v>
      </c>
      <c r="E178" s="130">
        <f>SUM(E179:E184)</f>
        <v>6419.09</v>
      </c>
      <c r="F178" s="14">
        <f t="shared" si="6"/>
        <v>36.68051428571429</v>
      </c>
    </row>
    <row r="179" spans="1:6" ht="18" customHeight="1">
      <c r="A179" s="229" t="s">
        <v>1025</v>
      </c>
      <c r="B179" s="230"/>
      <c r="C179" s="4">
        <v>17500</v>
      </c>
      <c r="D179" s="4">
        <v>17500</v>
      </c>
      <c r="E179" s="14">
        <v>6419.09</v>
      </c>
      <c r="F179" s="14">
        <f t="shared" si="6"/>
        <v>36.68051428571429</v>
      </c>
    </row>
    <row r="180" spans="1:6" ht="18" customHeight="1">
      <c r="A180" s="229" t="s">
        <v>1227</v>
      </c>
      <c r="B180" s="230"/>
      <c r="C180" s="4">
        <v>0</v>
      </c>
      <c r="D180" s="4">
        <v>0</v>
      </c>
      <c r="E180" s="14">
        <v>0</v>
      </c>
      <c r="F180" s="14" t="e">
        <f t="shared" si="6"/>
        <v>#DIV/0!</v>
      </c>
    </row>
    <row r="181" spans="1:6" ht="18" customHeight="1">
      <c r="A181" s="229" t="s">
        <v>1231</v>
      </c>
      <c r="B181" s="230"/>
      <c r="C181" s="4">
        <v>0</v>
      </c>
      <c r="D181" s="4">
        <v>0</v>
      </c>
      <c r="E181" s="14">
        <v>0</v>
      </c>
      <c r="F181" s="14" t="e">
        <f t="shared" si="6"/>
        <v>#DIV/0!</v>
      </c>
    </row>
    <row r="182" spans="1:6" ht="18" customHeight="1">
      <c r="A182" s="229" t="s">
        <v>1228</v>
      </c>
      <c r="B182" s="230"/>
      <c r="C182" s="4">
        <v>0</v>
      </c>
      <c r="D182" s="4">
        <v>0</v>
      </c>
      <c r="E182" s="14">
        <v>0</v>
      </c>
      <c r="F182" s="14" t="e">
        <f t="shared" si="6"/>
        <v>#DIV/0!</v>
      </c>
    </row>
    <row r="183" spans="1:6" ht="18" customHeight="1">
      <c r="A183" s="229" t="s">
        <v>1229</v>
      </c>
      <c r="B183" s="230"/>
      <c r="C183" s="4">
        <v>0</v>
      </c>
      <c r="D183" s="4">
        <v>0</v>
      </c>
      <c r="E183" s="14">
        <v>0</v>
      </c>
      <c r="F183" s="14" t="e">
        <f t="shared" si="6"/>
        <v>#DIV/0!</v>
      </c>
    </row>
    <row r="184" spans="1:6" ht="18" customHeight="1">
      <c r="A184" s="229" t="s">
        <v>1244</v>
      </c>
      <c r="B184" s="230"/>
      <c r="C184" s="4">
        <v>0</v>
      </c>
      <c r="D184" s="4">
        <v>0</v>
      </c>
      <c r="E184" s="14">
        <v>0</v>
      </c>
      <c r="F184" s="14" t="e">
        <f t="shared" si="6"/>
        <v>#DIV/0!</v>
      </c>
    </row>
    <row r="185" spans="1:6" ht="21" customHeight="1">
      <c r="A185" s="39">
        <v>34</v>
      </c>
      <c r="B185" s="3" t="s">
        <v>59</v>
      </c>
      <c r="C185" s="4">
        <v>17500</v>
      </c>
      <c r="D185" s="4">
        <v>17500</v>
      </c>
      <c r="E185" s="14">
        <f>E186+E188</f>
        <v>6419.089999999999</v>
      </c>
      <c r="F185" s="14">
        <f t="shared" si="6"/>
        <v>36.68051428571428</v>
      </c>
    </row>
    <row r="186" spans="1:6" ht="18" customHeight="1">
      <c r="A186" s="39" t="s">
        <v>1245</v>
      </c>
      <c r="B186" s="3" t="s">
        <v>1246</v>
      </c>
      <c r="C186" s="4">
        <v>0</v>
      </c>
      <c r="D186" s="4">
        <v>0</v>
      </c>
      <c r="E186" s="14">
        <f>E187</f>
        <v>164.78</v>
      </c>
      <c r="F186" s="14" t="e">
        <f>E186/D186*100</f>
        <v>#DIV/0!</v>
      </c>
    </row>
    <row r="187" spans="1:6" ht="15" customHeight="1">
      <c r="A187" s="39" t="s">
        <v>1247</v>
      </c>
      <c r="B187" s="3" t="s">
        <v>1248</v>
      </c>
      <c r="C187" s="4"/>
      <c r="D187" s="4"/>
      <c r="E187" s="14">
        <v>164.78</v>
      </c>
      <c r="F187" s="14" t="e">
        <f>E187/D187*100</f>
        <v>#DIV/0!</v>
      </c>
    </row>
    <row r="188" spans="1:6" ht="18" customHeight="1">
      <c r="A188" s="39">
        <v>343</v>
      </c>
      <c r="B188" s="3" t="s">
        <v>60</v>
      </c>
      <c r="C188" s="4">
        <v>865000</v>
      </c>
      <c r="D188" s="4">
        <v>865000</v>
      </c>
      <c r="E188" s="14">
        <f>SUM(E189:E192)</f>
        <v>6254.3099999999995</v>
      </c>
      <c r="F188" s="14">
        <f t="shared" si="6"/>
        <v>0.7230416184971098</v>
      </c>
    </row>
    <row r="189" spans="1:6" ht="15" customHeight="1">
      <c r="A189" s="39">
        <v>3431</v>
      </c>
      <c r="B189" s="3" t="s">
        <v>61</v>
      </c>
      <c r="C189" s="4"/>
      <c r="D189" s="4"/>
      <c r="E189" s="14">
        <v>4720.23</v>
      </c>
      <c r="F189" s="14" t="e">
        <f t="shared" si="6"/>
        <v>#DIV/0!</v>
      </c>
    </row>
    <row r="190" spans="1:6" ht="15" customHeight="1">
      <c r="A190" s="39" t="s">
        <v>755</v>
      </c>
      <c r="B190" s="3" t="s">
        <v>756</v>
      </c>
      <c r="C190" s="4"/>
      <c r="D190" s="4"/>
      <c r="E190" s="14">
        <v>0</v>
      </c>
      <c r="F190" s="14" t="e">
        <f t="shared" si="6"/>
        <v>#DIV/0!</v>
      </c>
    </row>
    <row r="191" spans="1:6" ht="15" customHeight="1">
      <c r="A191" s="39">
        <v>3433</v>
      </c>
      <c r="B191" s="3" t="s">
        <v>62</v>
      </c>
      <c r="C191" s="4"/>
      <c r="D191" s="4"/>
      <c r="E191" s="14">
        <v>1534.08</v>
      </c>
      <c r="F191" s="14" t="e">
        <f t="shared" si="6"/>
        <v>#DIV/0!</v>
      </c>
    </row>
    <row r="192" spans="1:6" ht="15" customHeight="1">
      <c r="A192" s="39" t="s">
        <v>1357</v>
      </c>
      <c r="B192" s="3" t="s">
        <v>1358</v>
      </c>
      <c r="C192" s="4"/>
      <c r="D192" s="4"/>
      <c r="E192" s="14">
        <v>0</v>
      </c>
      <c r="F192" s="14" t="e">
        <f>E192/D192*100</f>
        <v>#DIV/0!</v>
      </c>
    </row>
    <row r="193" spans="1:6" ht="30" customHeight="1">
      <c r="A193" s="253" t="s">
        <v>678</v>
      </c>
      <c r="B193" s="236"/>
      <c r="C193" s="61">
        <f>C194+C205+C218+C229+C240</f>
        <v>333700</v>
      </c>
      <c r="D193" s="61">
        <f>D194+D205+D218+D229+D240</f>
        <v>333700</v>
      </c>
      <c r="E193" s="129">
        <f>E194+E205+E218+E229+E240</f>
        <v>106790.65999999999</v>
      </c>
      <c r="F193" s="14">
        <f t="shared" si="6"/>
        <v>32.00199580461492</v>
      </c>
    </row>
    <row r="194" spans="1:6" ht="25.5" customHeight="1">
      <c r="A194" s="237" t="s">
        <v>679</v>
      </c>
      <c r="B194" s="238"/>
      <c r="C194" s="5">
        <f>C202</f>
        <v>2000</v>
      </c>
      <c r="D194" s="5">
        <f>D202</f>
        <v>2000</v>
      </c>
      <c r="E194" s="132">
        <f>E202</f>
        <v>0</v>
      </c>
      <c r="F194" s="14">
        <f t="shared" si="6"/>
        <v>0</v>
      </c>
    </row>
    <row r="195" spans="1:6" ht="25.5" customHeight="1">
      <c r="A195" s="233" t="s">
        <v>1039</v>
      </c>
      <c r="B195" s="234"/>
      <c r="C195" s="62">
        <f>SUM(C196:C201)</f>
        <v>2000</v>
      </c>
      <c r="D195" s="62">
        <f>SUM(D196:D201)</f>
        <v>2000</v>
      </c>
      <c r="E195" s="130">
        <f>SUM(E196:E201)</f>
        <v>0</v>
      </c>
      <c r="F195" s="14">
        <f aca="true" t="shared" si="9" ref="F195:F201">E195/D195*100</f>
        <v>0</v>
      </c>
    </row>
    <row r="196" spans="1:6" ht="18" customHeight="1">
      <c r="A196" s="229" t="s">
        <v>1025</v>
      </c>
      <c r="B196" s="230"/>
      <c r="C196" s="4">
        <v>2000</v>
      </c>
      <c r="D196" s="4">
        <v>2000</v>
      </c>
      <c r="E196" s="14">
        <v>0</v>
      </c>
      <c r="F196" s="14">
        <f t="shared" si="9"/>
        <v>0</v>
      </c>
    </row>
    <row r="197" spans="1:6" ht="18" customHeight="1">
      <c r="A197" s="229" t="s">
        <v>1227</v>
      </c>
      <c r="B197" s="230"/>
      <c r="C197" s="4">
        <v>0</v>
      </c>
      <c r="D197" s="4">
        <v>0</v>
      </c>
      <c r="E197" s="14">
        <v>0</v>
      </c>
      <c r="F197" s="14" t="e">
        <f t="shared" si="9"/>
        <v>#DIV/0!</v>
      </c>
    </row>
    <row r="198" spans="1:6" ht="18" customHeight="1">
      <c r="A198" s="229" t="s">
        <v>1231</v>
      </c>
      <c r="B198" s="230"/>
      <c r="C198" s="4">
        <v>0</v>
      </c>
      <c r="D198" s="4">
        <v>0</v>
      </c>
      <c r="E198" s="14">
        <v>0</v>
      </c>
      <c r="F198" s="14" t="e">
        <f t="shared" si="9"/>
        <v>#DIV/0!</v>
      </c>
    </row>
    <row r="199" spans="1:6" ht="18" customHeight="1">
      <c r="A199" s="229" t="s">
        <v>1228</v>
      </c>
      <c r="B199" s="230"/>
      <c r="C199" s="4">
        <v>0</v>
      </c>
      <c r="D199" s="4">
        <v>0</v>
      </c>
      <c r="E199" s="14">
        <v>0</v>
      </c>
      <c r="F199" s="14" t="e">
        <f t="shared" si="9"/>
        <v>#DIV/0!</v>
      </c>
    </row>
    <row r="200" spans="1:6" ht="18" customHeight="1">
      <c r="A200" s="229" t="s">
        <v>1229</v>
      </c>
      <c r="B200" s="230"/>
      <c r="C200" s="4">
        <v>0</v>
      </c>
      <c r="D200" s="4">
        <v>0</v>
      </c>
      <c r="E200" s="14">
        <v>0</v>
      </c>
      <c r="F200" s="14" t="e">
        <f t="shared" si="9"/>
        <v>#DIV/0!</v>
      </c>
    </row>
    <row r="201" spans="1:6" ht="18" customHeight="1">
      <c r="A201" s="229" t="s">
        <v>1234</v>
      </c>
      <c r="B201" s="230"/>
      <c r="C201" s="4">
        <v>0</v>
      </c>
      <c r="D201" s="4">
        <v>0</v>
      </c>
      <c r="E201" s="14">
        <v>0</v>
      </c>
      <c r="F201" s="14" t="e">
        <f t="shared" si="9"/>
        <v>#DIV/0!</v>
      </c>
    </row>
    <row r="202" spans="1:6" ht="21" customHeight="1">
      <c r="A202" s="39">
        <v>32</v>
      </c>
      <c r="B202" s="70" t="s">
        <v>63</v>
      </c>
      <c r="C202" s="4">
        <v>2000</v>
      </c>
      <c r="D202" s="4">
        <v>2000</v>
      </c>
      <c r="E202" s="14">
        <f>E203</f>
        <v>0</v>
      </c>
      <c r="F202" s="14">
        <f>E202/D202*100</f>
        <v>0</v>
      </c>
    </row>
    <row r="203" spans="1:6" ht="18" customHeight="1">
      <c r="A203" s="39">
        <v>329</v>
      </c>
      <c r="B203" s="70" t="s">
        <v>64</v>
      </c>
      <c r="C203" s="4">
        <v>0</v>
      </c>
      <c r="D203" s="4">
        <v>0</v>
      </c>
      <c r="E203" s="14">
        <f>SUM(E204:E204)</f>
        <v>0</v>
      </c>
      <c r="F203" s="14" t="e">
        <f>E203/D203*100</f>
        <v>#DIV/0!</v>
      </c>
    </row>
    <row r="204" spans="1:6" ht="15" customHeight="1">
      <c r="A204" s="39">
        <v>3299</v>
      </c>
      <c r="B204" s="70" t="s">
        <v>65</v>
      </c>
      <c r="C204" s="4">
        <v>0</v>
      </c>
      <c r="D204" s="4">
        <v>0</v>
      </c>
      <c r="E204" s="14">
        <v>0</v>
      </c>
      <c r="F204" s="14" t="e">
        <f>E204/D204*100</f>
        <v>#DIV/0!</v>
      </c>
    </row>
    <row r="205" spans="1:6" ht="25.5" customHeight="1">
      <c r="A205" s="237" t="s">
        <v>680</v>
      </c>
      <c r="B205" s="238"/>
      <c r="C205" s="5">
        <f>C213</f>
        <v>292000</v>
      </c>
      <c r="D205" s="5">
        <f>D213</f>
        <v>292000</v>
      </c>
      <c r="E205" s="132">
        <f>E213</f>
        <v>103319.4</v>
      </c>
      <c r="F205" s="14">
        <f>E205/D205*100</f>
        <v>35.383356164383564</v>
      </c>
    </row>
    <row r="206" spans="1:6" ht="25.5" customHeight="1">
      <c r="A206" s="233" t="s">
        <v>1040</v>
      </c>
      <c r="B206" s="234"/>
      <c r="C206" s="62">
        <f>SUM(C207:C212)</f>
        <v>292000</v>
      </c>
      <c r="D206" s="62">
        <f>SUM(D207:D212)</f>
        <v>292000</v>
      </c>
      <c r="E206" s="130">
        <f>SUM(E207:E212)</f>
        <v>103319.4</v>
      </c>
      <c r="F206" s="14">
        <f aca="true" t="shared" si="10" ref="F206:F212">E206/D206*100</f>
        <v>35.383356164383564</v>
      </c>
    </row>
    <row r="207" spans="1:6" ht="18" customHeight="1">
      <c r="A207" s="229" t="s">
        <v>1025</v>
      </c>
      <c r="B207" s="230"/>
      <c r="C207" s="4">
        <v>292000</v>
      </c>
      <c r="D207" s="4">
        <v>292000</v>
      </c>
      <c r="E207" s="14">
        <v>103319.4</v>
      </c>
      <c r="F207" s="14">
        <f t="shared" si="10"/>
        <v>35.383356164383564</v>
      </c>
    </row>
    <row r="208" spans="1:6" ht="18" customHeight="1">
      <c r="A208" s="229" t="s">
        <v>1227</v>
      </c>
      <c r="B208" s="230"/>
      <c r="C208" s="4">
        <v>0</v>
      </c>
      <c r="D208" s="4">
        <v>0</v>
      </c>
      <c r="E208" s="14">
        <v>0</v>
      </c>
      <c r="F208" s="14" t="e">
        <f t="shared" si="10"/>
        <v>#DIV/0!</v>
      </c>
    </row>
    <row r="209" spans="1:6" ht="18" customHeight="1">
      <c r="A209" s="229" t="s">
        <v>1231</v>
      </c>
      <c r="B209" s="230"/>
      <c r="C209" s="4">
        <v>0</v>
      </c>
      <c r="D209" s="4">
        <v>0</v>
      </c>
      <c r="E209" s="14">
        <v>0</v>
      </c>
      <c r="F209" s="14" t="e">
        <f t="shared" si="10"/>
        <v>#DIV/0!</v>
      </c>
    </row>
    <row r="210" spans="1:6" ht="18" customHeight="1">
      <c r="A210" s="229" t="s">
        <v>1228</v>
      </c>
      <c r="B210" s="230"/>
      <c r="C210" s="4">
        <v>0</v>
      </c>
      <c r="D210" s="4">
        <v>0</v>
      </c>
      <c r="E210" s="14">
        <v>0</v>
      </c>
      <c r="F210" s="14" t="e">
        <f t="shared" si="10"/>
        <v>#DIV/0!</v>
      </c>
    </row>
    <row r="211" spans="1:6" ht="18" customHeight="1">
      <c r="A211" s="229" t="s">
        <v>1229</v>
      </c>
      <c r="B211" s="230"/>
      <c r="C211" s="4">
        <v>0</v>
      </c>
      <c r="D211" s="4">
        <v>0</v>
      </c>
      <c r="E211" s="14">
        <v>0</v>
      </c>
      <c r="F211" s="14" t="e">
        <f t="shared" si="10"/>
        <v>#DIV/0!</v>
      </c>
    </row>
    <row r="212" spans="1:6" ht="18" customHeight="1">
      <c r="A212" s="229" t="s">
        <v>1234</v>
      </c>
      <c r="B212" s="230"/>
      <c r="C212" s="4">
        <v>0</v>
      </c>
      <c r="D212" s="4">
        <v>0</v>
      </c>
      <c r="E212" s="14">
        <v>0</v>
      </c>
      <c r="F212" s="14" t="e">
        <f t="shared" si="10"/>
        <v>#DIV/0!</v>
      </c>
    </row>
    <row r="213" spans="1:6" ht="21" customHeight="1">
      <c r="A213" s="39">
        <v>38</v>
      </c>
      <c r="B213" s="70" t="s">
        <v>556</v>
      </c>
      <c r="C213" s="4">
        <v>292000</v>
      </c>
      <c r="D213" s="4">
        <v>292000</v>
      </c>
      <c r="E213" s="14">
        <f>SUM(E214+E216)</f>
        <v>103319.4</v>
      </c>
      <c r="F213" s="14">
        <f aca="true" t="shared" si="11" ref="F213:F229">E213/D213*100</f>
        <v>35.383356164383564</v>
      </c>
    </row>
    <row r="214" spans="1:6" ht="18" customHeight="1">
      <c r="A214" s="39">
        <v>381</v>
      </c>
      <c r="B214" s="70" t="s">
        <v>67</v>
      </c>
      <c r="C214" s="4">
        <v>0</v>
      </c>
      <c r="D214" s="4">
        <v>0</v>
      </c>
      <c r="E214" s="14">
        <f>E215</f>
        <v>78571.9</v>
      </c>
      <c r="F214" s="14" t="e">
        <f t="shared" si="11"/>
        <v>#DIV/0!</v>
      </c>
    </row>
    <row r="215" spans="1:6" ht="15" customHeight="1">
      <c r="A215" s="39">
        <v>3811</v>
      </c>
      <c r="B215" s="70" t="s">
        <v>137</v>
      </c>
      <c r="C215" s="4"/>
      <c r="D215" s="4"/>
      <c r="E215" s="14">
        <v>78571.9</v>
      </c>
      <c r="F215" s="14" t="e">
        <f t="shared" si="11"/>
        <v>#DIV/0!</v>
      </c>
    </row>
    <row r="216" spans="1:6" ht="18" customHeight="1">
      <c r="A216" s="39" t="s">
        <v>148</v>
      </c>
      <c r="B216" s="70" t="s">
        <v>93</v>
      </c>
      <c r="C216" s="4">
        <v>450000</v>
      </c>
      <c r="D216" s="4">
        <v>450000</v>
      </c>
      <c r="E216" s="14">
        <f>SUM(E217:E217)</f>
        <v>24747.5</v>
      </c>
      <c r="F216" s="14">
        <f t="shared" si="11"/>
        <v>5.499444444444444</v>
      </c>
    </row>
    <row r="217" spans="1:6" ht="15" customHeight="1">
      <c r="A217" s="39" t="s">
        <v>149</v>
      </c>
      <c r="B217" s="70" t="s">
        <v>1301</v>
      </c>
      <c r="C217" s="4"/>
      <c r="D217" s="4"/>
      <c r="E217" s="14">
        <v>24747.5</v>
      </c>
      <c r="F217" s="14" t="e">
        <f t="shared" si="11"/>
        <v>#DIV/0!</v>
      </c>
    </row>
    <row r="218" spans="1:6" ht="25.5" customHeight="1">
      <c r="A218" s="237" t="s">
        <v>681</v>
      </c>
      <c r="B218" s="238"/>
      <c r="C218" s="5">
        <f>C226</f>
        <v>6700</v>
      </c>
      <c r="D218" s="5">
        <f>D226</f>
        <v>6700</v>
      </c>
      <c r="E218" s="132">
        <f>E226</f>
        <v>0</v>
      </c>
      <c r="F218" s="14">
        <f t="shared" si="11"/>
        <v>0</v>
      </c>
    </row>
    <row r="219" spans="1:6" ht="25.5" customHeight="1">
      <c r="A219" s="233" t="s">
        <v>1041</v>
      </c>
      <c r="B219" s="234"/>
      <c r="C219" s="62">
        <f>SUM(C220:C225)</f>
        <v>6700</v>
      </c>
      <c r="D219" s="62">
        <f>SUM(D220:D225)</f>
        <v>6700</v>
      </c>
      <c r="E219" s="130">
        <f>SUM(E220:E225)</f>
        <v>0</v>
      </c>
      <c r="F219" s="14">
        <f t="shared" si="11"/>
        <v>0</v>
      </c>
    </row>
    <row r="220" spans="1:6" ht="18" customHeight="1">
      <c r="A220" s="229" t="s">
        <v>1025</v>
      </c>
      <c r="B220" s="230"/>
      <c r="C220" s="4">
        <v>6700</v>
      </c>
      <c r="D220" s="4">
        <v>6700</v>
      </c>
      <c r="E220" s="14">
        <v>0</v>
      </c>
      <c r="F220" s="14">
        <f t="shared" si="11"/>
        <v>0</v>
      </c>
    </row>
    <row r="221" spans="1:6" ht="18" customHeight="1">
      <c r="A221" s="229" t="s">
        <v>1227</v>
      </c>
      <c r="B221" s="230"/>
      <c r="C221" s="4">
        <v>0</v>
      </c>
      <c r="D221" s="4">
        <v>0</v>
      </c>
      <c r="E221" s="14">
        <v>0</v>
      </c>
      <c r="F221" s="14" t="e">
        <f t="shared" si="11"/>
        <v>#DIV/0!</v>
      </c>
    </row>
    <row r="222" spans="1:6" ht="18" customHeight="1">
      <c r="A222" s="229" t="s">
        <v>1231</v>
      </c>
      <c r="B222" s="230"/>
      <c r="C222" s="4">
        <v>0</v>
      </c>
      <c r="D222" s="4">
        <v>0</v>
      </c>
      <c r="E222" s="14">
        <v>0</v>
      </c>
      <c r="F222" s="14" t="e">
        <f t="shared" si="11"/>
        <v>#DIV/0!</v>
      </c>
    </row>
    <row r="223" spans="1:6" ht="18" customHeight="1">
      <c r="A223" s="229" t="s">
        <v>1228</v>
      </c>
      <c r="B223" s="230"/>
      <c r="C223" s="4">
        <v>0</v>
      </c>
      <c r="D223" s="4">
        <v>0</v>
      </c>
      <c r="E223" s="14">
        <v>0</v>
      </c>
      <c r="F223" s="14" t="e">
        <f t="shared" si="11"/>
        <v>#DIV/0!</v>
      </c>
    </row>
    <row r="224" spans="1:6" ht="18" customHeight="1">
      <c r="A224" s="229" t="s">
        <v>1229</v>
      </c>
      <c r="B224" s="230"/>
      <c r="C224" s="4">
        <v>0</v>
      </c>
      <c r="D224" s="4">
        <v>0</v>
      </c>
      <c r="E224" s="14">
        <v>0</v>
      </c>
      <c r="F224" s="14" t="e">
        <f t="shared" si="11"/>
        <v>#DIV/0!</v>
      </c>
    </row>
    <row r="225" spans="1:6" ht="18" customHeight="1">
      <c r="A225" s="229" t="s">
        <v>1234</v>
      </c>
      <c r="B225" s="230"/>
      <c r="C225" s="4">
        <v>0</v>
      </c>
      <c r="D225" s="4">
        <v>0</v>
      </c>
      <c r="E225" s="14">
        <v>0</v>
      </c>
      <c r="F225" s="14" t="e">
        <f t="shared" si="11"/>
        <v>#DIV/0!</v>
      </c>
    </row>
    <row r="226" spans="1:6" ht="21" customHeight="1">
      <c r="A226" s="39">
        <v>32</v>
      </c>
      <c r="B226" s="70" t="s">
        <v>63</v>
      </c>
      <c r="C226" s="4">
        <v>6700</v>
      </c>
      <c r="D226" s="4">
        <v>6700</v>
      </c>
      <c r="E226" s="14">
        <f>E227</f>
        <v>0</v>
      </c>
      <c r="F226" s="14">
        <f t="shared" si="11"/>
        <v>0</v>
      </c>
    </row>
    <row r="227" spans="1:6" ht="18" customHeight="1">
      <c r="A227" s="39">
        <v>329</v>
      </c>
      <c r="B227" s="70" t="s">
        <v>64</v>
      </c>
      <c r="C227" s="4">
        <v>0</v>
      </c>
      <c r="D227" s="4">
        <v>0</v>
      </c>
      <c r="E227" s="14">
        <f>E228</f>
        <v>0</v>
      </c>
      <c r="F227" s="14" t="e">
        <f t="shared" si="11"/>
        <v>#DIV/0!</v>
      </c>
    </row>
    <row r="228" spans="1:6" ht="15" customHeight="1">
      <c r="A228" s="39">
        <v>3299</v>
      </c>
      <c r="B228" s="70" t="s">
        <v>165</v>
      </c>
      <c r="C228" s="4">
        <v>0</v>
      </c>
      <c r="D228" s="4">
        <v>0</v>
      </c>
      <c r="E228" s="14">
        <v>0</v>
      </c>
      <c r="F228" s="14" t="e">
        <f t="shared" si="11"/>
        <v>#DIV/0!</v>
      </c>
    </row>
    <row r="229" spans="1:6" ht="25.5" customHeight="1">
      <c r="A229" s="237" t="s">
        <v>682</v>
      </c>
      <c r="B229" s="238"/>
      <c r="C229" s="5">
        <f>C237</f>
        <v>8000</v>
      </c>
      <c r="D229" s="5">
        <f>D237</f>
        <v>8000</v>
      </c>
      <c r="E229" s="132">
        <f>E237</f>
        <v>2000</v>
      </c>
      <c r="F229" s="14">
        <f t="shared" si="11"/>
        <v>25</v>
      </c>
    </row>
    <row r="230" spans="1:6" ht="25.5" customHeight="1">
      <c r="A230" s="233" t="s">
        <v>1042</v>
      </c>
      <c r="B230" s="234"/>
      <c r="C230" s="62">
        <f>SUM(C231:C236)</f>
        <v>8000</v>
      </c>
      <c r="D230" s="62">
        <f>SUM(D231:D236)</f>
        <v>8000</v>
      </c>
      <c r="E230" s="130">
        <f>SUM(E231:E236)</f>
        <v>2000</v>
      </c>
      <c r="F230" s="14">
        <f aca="true" t="shared" si="12" ref="F230:F236">E230/D230*100</f>
        <v>25</v>
      </c>
    </row>
    <row r="231" spans="1:6" ht="18" customHeight="1">
      <c r="A231" s="229" t="s">
        <v>1025</v>
      </c>
      <c r="B231" s="230"/>
      <c r="C231" s="4">
        <v>8000</v>
      </c>
      <c r="D231" s="4">
        <v>8000</v>
      </c>
      <c r="E231" s="14">
        <v>2000</v>
      </c>
      <c r="F231" s="14">
        <f t="shared" si="12"/>
        <v>25</v>
      </c>
    </row>
    <row r="232" spans="1:6" ht="18" customHeight="1">
      <c r="A232" s="229" t="s">
        <v>1227</v>
      </c>
      <c r="B232" s="230"/>
      <c r="C232" s="4">
        <v>0</v>
      </c>
      <c r="D232" s="4">
        <v>0</v>
      </c>
      <c r="E232" s="14">
        <v>0</v>
      </c>
      <c r="F232" s="14" t="e">
        <f t="shared" si="12"/>
        <v>#DIV/0!</v>
      </c>
    </row>
    <row r="233" spans="1:6" ht="18" customHeight="1">
      <c r="A233" s="229" t="s">
        <v>1231</v>
      </c>
      <c r="B233" s="230"/>
      <c r="C233" s="4">
        <v>0</v>
      </c>
      <c r="D233" s="4">
        <v>0</v>
      </c>
      <c r="E233" s="14">
        <v>0</v>
      </c>
      <c r="F233" s="14" t="e">
        <f t="shared" si="12"/>
        <v>#DIV/0!</v>
      </c>
    </row>
    <row r="234" spans="1:6" ht="18" customHeight="1">
      <c r="A234" s="229" t="s">
        <v>1228</v>
      </c>
      <c r="B234" s="230"/>
      <c r="C234" s="4">
        <v>0</v>
      </c>
      <c r="D234" s="4">
        <v>0</v>
      </c>
      <c r="E234" s="14">
        <v>0</v>
      </c>
      <c r="F234" s="14" t="e">
        <f t="shared" si="12"/>
        <v>#DIV/0!</v>
      </c>
    </row>
    <row r="235" spans="1:6" ht="18" customHeight="1">
      <c r="A235" s="229" t="s">
        <v>1229</v>
      </c>
      <c r="B235" s="230"/>
      <c r="C235" s="4">
        <v>0</v>
      </c>
      <c r="D235" s="4">
        <v>0</v>
      </c>
      <c r="E235" s="14">
        <v>0</v>
      </c>
      <c r="F235" s="14" t="e">
        <f t="shared" si="12"/>
        <v>#DIV/0!</v>
      </c>
    </row>
    <row r="236" spans="1:6" ht="18" customHeight="1">
      <c r="A236" s="229" t="s">
        <v>1234</v>
      </c>
      <c r="B236" s="230"/>
      <c r="C236" s="4">
        <v>0</v>
      </c>
      <c r="D236" s="4">
        <v>0</v>
      </c>
      <c r="E236" s="14">
        <v>0</v>
      </c>
      <c r="F236" s="14" t="e">
        <f t="shared" si="12"/>
        <v>#DIV/0!</v>
      </c>
    </row>
    <row r="237" spans="1:6" ht="21" customHeight="1">
      <c r="A237" s="39">
        <v>38</v>
      </c>
      <c r="B237" s="70" t="s">
        <v>556</v>
      </c>
      <c r="C237" s="4">
        <v>8000</v>
      </c>
      <c r="D237" s="4">
        <v>8000</v>
      </c>
      <c r="E237" s="14">
        <f>E238</f>
        <v>2000</v>
      </c>
      <c r="F237" s="14">
        <f aca="true" t="shared" si="13" ref="F237:F255">E237/D237*100</f>
        <v>25</v>
      </c>
    </row>
    <row r="238" spans="1:6" ht="18" customHeight="1">
      <c r="A238" s="39">
        <v>381</v>
      </c>
      <c r="B238" s="70" t="s">
        <v>67</v>
      </c>
      <c r="C238" s="4">
        <v>0</v>
      </c>
      <c r="D238" s="4">
        <v>0</v>
      </c>
      <c r="E238" s="14">
        <f>E239</f>
        <v>2000</v>
      </c>
      <c r="F238" s="14" t="e">
        <f t="shared" si="13"/>
        <v>#DIV/0!</v>
      </c>
    </row>
    <row r="239" spans="1:6" ht="15" customHeight="1">
      <c r="A239" s="39">
        <v>3811</v>
      </c>
      <c r="B239" s="72" t="s">
        <v>136</v>
      </c>
      <c r="C239" s="4"/>
      <c r="D239" s="4"/>
      <c r="E239" s="14">
        <v>2000</v>
      </c>
      <c r="F239" s="14" t="e">
        <f t="shared" si="13"/>
        <v>#DIV/0!</v>
      </c>
    </row>
    <row r="240" spans="1:6" ht="30" customHeight="1">
      <c r="A240" s="245" t="s">
        <v>1338</v>
      </c>
      <c r="B240" s="264"/>
      <c r="C240" s="5">
        <f>C248+C251</f>
        <v>25000</v>
      </c>
      <c r="D240" s="5">
        <f>D248+D251</f>
        <v>25000</v>
      </c>
      <c r="E240" s="132">
        <f>E248+E251</f>
        <v>1471.26</v>
      </c>
      <c r="F240" s="14">
        <f t="shared" si="13"/>
        <v>5.88504</v>
      </c>
    </row>
    <row r="241" spans="1:6" ht="25.5" customHeight="1">
      <c r="A241" s="233" t="s">
        <v>1043</v>
      </c>
      <c r="B241" s="234"/>
      <c r="C241" s="62">
        <f>SUM(C242:C247)</f>
        <v>25000</v>
      </c>
      <c r="D241" s="62">
        <f>SUM(D242:D247)</f>
        <v>25000</v>
      </c>
      <c r="E241" s="130">
        <f>SUM(E242:E247)</f>
        <v>1471.26</v>
      </c>
      <c r="F241" s="14">
        <f t="shared" si="13"/>
        <v>5.88504</v>
      </c>
    </row>
    <row r="242" spans="1:6" ht="18" customHeight="1">
      <c r="A242" s="229" t="s">
        <v>1025</v>
      </c>
      <c r="B242" s="230"/>
      <c r="C242" s="4">
        <v>25000</v>
      </c>
      <c r="D242" s="4">
        <v>25000</v>
      </c>
      <c r="E242" s="14">
        <v>1471.26</v>
      </c>
      <c r="F242" s="14">
        <f t="shared" si="13"/>
        <v>5.88504</v>
      </c>
    </row>
    <row r="243" spans="1:6" ht="18" customHeight="1">
      <c r="A243" s="229" t="s">
        <v>1227</v>
      </c>
      <c r="B243" s="230"/>
      <c r="C243" s="4">
        <v>0</v>
      </c>
      <c r="D243" s="4">
        <v>0</v>
      </c>
      <c r="E243" s="14">
        <v>0</v>
      </c>
      <c r="F243" s="14" t="e">
        <f t="shared" si="13"/>
        <v>#DIV/0!</v>
      </c>
    </row>
    <row r="244" spans="1:6" ht="18" customHeight="1">
      <c r="A244" s="229" t="s">
        <v>1231</v>
      </c>
      <c r="B244" s="230"/>
      <c r="C244" s="4">
        <v>0</v>
      </c>
      <c r="D244" s="4">
        <v>0</v>
      </c>
      <c r="E244" s="14">
        <v>0</v>
      </c>
      <c r="F244" s="14" t="e">
        <f t="shared" si="13"/>
        <v>#DIV/0!</v>
      </c>
    </row>
    <row r="245" spans="1:6" ht="18" customHeight="1">
      <c r="A245" s="229" t="s">
        <v>1228</v>
      </c>
      <c r="B245" s="230"/>
      <c r="C245" s="4">
        <v>0</v>
      </c>
      <c r="D245" s="4">
        <v>0</v>
      </c>
      <c r="E245" s="14">
        <v>0</v>
      </c>
      <c r="F245" s="14" t="e">
        <f t="shared" si="13"/>
        <v>#DIV/0!</v>
      </c>
    </row>
    <row r="246" spans="1:6" ht="18" customHeight="1">
      <c r="A246" s="229" t="s">
        <v>1229</v>
      </c>
      <c r="B246" s="230"/>
      <c r="C246" s="4">
        <v>0</v>
      </c>
      <c r="D246" s="4">
        <v>0</v>
      </c>
      <c r="E246" s="14">
        <v>0</v>
      </c>
      <c r="F246" s="14" t="e">
        <f t="shared" si="13"/>
        <v>#DIV/0!</v>
      </c>
    </row>
    <row r="247" spans="1:6" ht="18" customHeight="1">
      <c r="A247" s="229" t="s">
        <v>1234</v>
      </c>
      <c r="B247" s="230"/>
      <c r="C247" s="4">
        <v>0</v>
      </c>
      <c r="D247" s="4">
        <v>0</v>
      </c>
      <c r="E247" s="14">
        <v>0</v>
      </c>
      <c r="F247" s="14" t="e">
        <f t="shared" si="13"/>
        <v>#DIV/0!</v>
      </c>
    </row>
    <row r="248" spans="1:6" ht="21" customHeight="1">
      <c r="A248" s="39">
        <v>32</v>
      </c>
      <c r="B248" s="70" t="s">
        <v>63</v>
      </c>
      <c r="C248" s="4">
        <v>25000</v>
      </c>
      <c r="D248" s="4">
        <v>25000</v>
      </c>
      <c r="E248" s="14">
        <f>E249</f>
        <v>1471.26</v>
      </c>
      <c r="F248" s="14">
        <f t="shared" si="13"/>
        <v>5.88504</v>
      </c>
    </row>
    <row r="249" spans="1:6" ht="18" customHeight="1">
      <c r="A249" s="39">
        <v>329</v>
      </c>
      <c r="B249" s="70" t="s">
        <v>64</v>
      </c>
      <c r="C249" s="4">
        <v>0</v>
      </c>
      <c r="D249" s="4">
        <v>0</v>
      </c>
      <c r="E249" s="14">
        <f>E250</f>
        <v>1471.26</v>
      </c>
      <c r="F249" s="14" t="e">
        <f t="shared" si="13"/>
        <v>#DIV/0!</v>
      </c>
    </row>
    <row r="250" spans="1:6" ht="15" customHeight="1">
      <c r="A250" s="39">
        <v>3299</v>
      </c>
      <c r="B250" s="70" t="s">
        <v>1440</v>
      </c>
      <c r="C250" s="4">
        <v>0</v>
      </c>
      <c r="D250" s="4">
        <v>0</v>
      </c>
      <c r="E250" s="14">
        <v>1471.26</v>
      </c>
      <c r="F250" s="14" t="e">
        <f t="shared" si="13"/>
        <v>#DIV/0!</v>
      </c>
    </row>
    <row r="251" spans="1:6" ht="21" customHeight="1">
      <c r="A251" s="39" t="s">
        <v>615</v>
      </c>
      <c r="B251" s="70" t="s">
        <v>617</v>
      </c>
      <c r="C251" s="4">
        <f>C252</f>
        <v>0</v>
      </c>
      <c r="D251" s="4">
        <f>D252</f>
        <v>0</v>
      </c>
      <c r="E251" s="14">
        <f>E252</f>
        <v>0</v>
      </c>
      <c r="F251" s="14" t="e">
        <f t="shared" si="13"/>
        <v>#DIV/0!</v>
      </c>
    </row>
    <row r="252" spans="1:6" ht="18" customHeight="1">
      <c r="A252" s="39" t="s">
        <v>633</v>
      </c>
      <c r="B252" s="70" t="s">
        <v>634</v>
      </c>
      <c r="C252" s="4">
        <v>0</v>
      </c>
      <c r="D252" s="4">
        <v>0</v>
      </c>
      <c r="E252" s="14">
        <f>E253</f>
        <v>0</v>
      </c>
      <c r="F252" s="14" t="e">
        <f t="shared" si="13"/>
        <v>#DIV/0!</v>
      </c>
    </row>
    <row r="253" spans="1:6" ht="15" customHeight="1">
      <c r="A253" s="39" t="s">
        <v>995</v>
      </c>
      <c r="B253" s="70" t="s">
        <v>1320</v>
      </c>
      <c r="C253" s="4">
        <v>0</v>
      </c>
      <c r="D253" s="4">
        <v>0</v>
      </c>
      <c r="E253" s="14">
        <v>0</v>
      </c>
      <c r="F253" s="14" t="e">
        <f t="shared" si="13"/>
        <v>#DIV/0!</v>
      </c>
    </row>
    <row r="254" spans="1:6" ht="30" customHeight="1">
      <c r="A254" s="253" t="s">
        <v>1249</v>
      </c>
      <c r="B254" s="236"/>
      <c r="C254" s="61">
        <f>C255+C269+C280+C291+C302</f>
        <v>115500</v>
      </c>
      <c r="D254" s="61">
        <f>D255+D269+D280+D291+D302</f>
        <v>115500</v>
      </c>
      <c r="E254" s="129">
        <f>E255+E269+E280+E291+E302</f>
        <v>5246.8</v>
      </c>
      <c r="F254" s="14">
        <f t="shared" si="13"/>
        <v>4.542683982683983</v>
      </c>
    </row>
    <row r="255" spans="1:6" ht="25.5" customHeight="1">
      <c r="A255" s="237" t="s">
        <v>684</v>
      </c>
      <c r="B255" s="238"/>
      <c r="C255" s="5">
        <f>C263</f>
        <v>21500</v>
      </c>
      <c r="D255" s="5">
        <f>D263</f>
        <v>21500</v>
      </c>
      <c r="E255" s="132">
        <f>E263</f>
        <v>5246.8</v>
      </c>
      <c r="F255" s="14">
        <f t="shared" si="13"/>
        <v>24.40372093023256</v>
      </c>
    </row>
    <row r="256" spans="1:6" ht="25.5" customHeight="1">
      <c r="A256" s="233" t="s">
        <v>1044</v>
      </c>
      <c r="B256" s="234"/>
      <c r="C256" s="62">
        <f>SUM(C257:C262)</f>
        <v>21500</v>
      </c>
      <c r="D256" s="62">
        <f>SUM(D257:D262)</f>
        <v>3500</v>
      </c>
      <c r="E256" s="130">
        <f>SUM(E257:E262)</f>
        <v>5246.8</v>
      </c>
      <c r="F256" s="14">
        <f aca="true" t="shared" si="14" ref="F256:F262">E256/D256*100</f>
        <v>149.90857142857143</v>
      </c>
    </row>
    <row r="257" spans="1:6" ht="18" customHeight="1">
      <c r="A257" s="229" t="s">
        <v>1025</v>
      </c>
      <c r="B257" s="230"/>
      <c r="C257" s="4">
        <v>1500</v>
      </c>
      <c r="D257" s="4">
        <v>1500</v>
      </c>
      <c r="E257" s="14">
        <v>5246.8</v>
      </c>
      <c r="F257" s="14">
        <f t="shared" si="14"/>
        <v>349.7866666666667</v>
      </c>
    </row>
    <row r="258" spans="1:6" ht="18" customHeight="1">
      <c r="A258" s="229" t="s">
        <v>1227</v>
      </c>
      <c r="B258" s="230"/>
      <c r="C258" s="4">
        <v>20000</v>
      </c>
      <c r="D258" s="4">
        <v>2000</v>
      </c>
      <c r="E258" s="14">
        <v>0</v>
      </c>
      <c r="F258" s="14">
        <f t="shared" si="14"/>
        <v>0</v>
      </c>
    </row>
    <row r="259" spans="1:6" ht="18" customHeight="1">
      <c r="A259" s="229" t="s">
        <v>1231</v>
      </c>
      <c r="B259" s="230"/>
      <c r="C259" s="4">
        <v>0</v>
      </c>
      <c r="D259" s="4">
        <v>0</v>
      </c>
      <c r="E259" s="14">
        <v>0</v>
      </c>
      <c r="F259" s="14" t="e">
        <f t="shared" si="14"/>
        <v>#DIV/0!</v>
      </c>
    </row>
    <row r="260" spans="1:6" ht="18" customHeight="1">
      <c r="A260" s="229" t="s">
        <v>1228</v>
      </c>
      <c r="B260" s="230"/>
      <c r="C260" s="4">
        <v>0</v>
      </c>
      <c r="D260" s="4">
        <v>0</v>
      </c>
      <c r="E260" s="14">
        <v>0</v>
      </c>
      <c r="F260" s="14" t="e">
        <f t="shared" si="14"/>
        <v>#DIV/0!</v>
      </c>
    </row>
    <row r="261" spans="1:6" ht="18" customHeight="1">
      <c r="A261" s="229" t="s">
        <v>1229</v>
      </c>
      <c r="B261" s="230"/>
      <c r="C261" s="4">
        <v>0</v>
      </c>
      <c r="D261" s="4">
        <v>0</v>
      </c>
      <c r="E261" s="14">
        <v>0</v>
      </c>
      <c r="F261" s="14" t="e">
        <f t="shared" si="14"/>
        <v>#DIV/0!</v>
      </c>
    </row>
    <row r="262" spans="1:6" ht="18" customHeight="1">
      <c r="A262" s="229" t="s">
        <v>1234</v>
      </c>
      <c r="B262" s="230"/>
      <c r="C262" s="4">
        <v>0</v>
      </c>
      <c r="D262" s="4">
        <v>0</v>
      </c>
      <c r="E262" s="14">
        <v>0</v>
      </c>
      <c r="F262" s="14" t="e">
        <f t="shared" si="14"/>
        <v>#DIV/0!</v>
      </c>
    </row>
    <row r="263" spans="1:6" ht="21" customHeight="1">
      <c r="A263" s="39">
        <v>32</v>
      </c>
      <c r="B263" s="70" t="s">
        <v>63</v>
      </c>
      <c r="C263" s="4">
        <v>21500</v>
      </c>
      <c r="D263" s="4">
        <v>21500</v>
      </c>
      <c r="E263" s="14">
        <f>E264+E266</f>
        <v>5246.8</v>
      </c>
      <c r="F263" s="14">
        <f aca="true" t="shared" si="15" ref="F263:F269">E263/D263*100</f>
        <v>24.40372093023256</v>
      </c>
    </row>
    <row r="264" spans="1:6" ht="18" customHeight="1">
      <c r="A264" s="39">
        <v>322</v>
      </c>
      <c r="B264" s="70" t="s">
        <v>70</v>
      </c>
      <c r="C264" s="4">
        <v>0</v>
      </c>
      <c r="D264" s="4">
        <v>0</v>
      </c>
      <c r="E264" s="14">
        <f>E265</f>
        <v>0</v>
      </c>
      <c r="F264" s="14" t="e">
        <f t="shared" si="15"/>
        <v>#DIV/0!</v>
      </c>
    </row>
    <row r="265" spans="1:6" ht="15" customHeight="1">
      <c r="A265" s="39">
        <v>3224</v>
      </c>
      <c r="B265" s="70" t="s">
        <v>71</v>
      </c>
      <c r="C265" s="4"/>
      <c r="D265" s="4"/>
      <c r="E265" s="14">
        <v>0</v>
      </c>
      <c r="F265" s="14" t="e">
        <f t="shared" si="15"/>
        <v>#DIV/0!</v>
      </c>
    </row>
    <row r="266" spans="1:6" ht="18" customHeight="1">
      <c r="A266" s="39">
        <v>323</v>
      </c>
      <c r="B266" s="70" t="s">
        <v>72</v>
      </c>
      <c r="C266" s="4">
        <v>0</v>
      </c>
      <c r="D266" s="4">
        <v>0</v>
      </c>
      <c r="E266" s="14">
        <f>SUM(E267:E268)</f>
        <v>5246.8</v>
      </c>
      <c r="F266" s="14" t="e">
        <f t="shared" si="15"/>
        <v>#DIV/0!</v>
      </c>
    </row>
    <row r="267" spans="1:6" ht="15" customHeight="1">
      <c r="A267" s="39">
        <v>3232</v>
      </c>
      <c r="B267" s="70" t="s">
        <v>73</v>
      </c>
      <c r="C267" s="4"/>
      <c r="D267" s="4"/>
      <c r="E267" s="14">
        <v>5246.8</v>
      </c>
      <c r="F267" s="14" t="e">
        <f t="shared" si="15"/>
        <v>#DIV/0!</v>
      </c>
    </row>
    <row r="268" spans="1:6" ht="15" customHeight="1">
      <c r="A268" s="39" t="s">
        <v>337</v>
      </c>
      <c r="B268" s="70" t="s">
        <v>683</v>
      </c>
      <c r="C268" s="4"/>
      <c r="D268" s="4"/>
      <c r="E268" s="14">
        <v>0</v>
      </c>
      <c r="F268" s="14" t="e">
        <f t="shared" si="15"/>
        <v>#DIV/0!</v>
      </c>
    </row>
    <row r="269" spans="1:6" ht="25.5" customHeight="1">
      <c r="A269" s="237" t="s">
        <v>1339</v>
      </c>
      <c r="B269" s="238"/>
      <c r="C269" s="5">
        <f>C277</f>
        <v>5000</v>
      </c>
      <c r="D269" s="5">
        <f>D277</f>
        <v>5000</v>
      </c>
      <c r="E269" s="132">
        <f>E277</f>
        <v>0</v>
      </c>
      <c r="F269" s="14">
        <f t="shared" si="15"/>
        <v>0</v>
      </c>
    </row>
    <row r="270" spans="1:6" ht="25.5" customHeight="1">
      <c r="A270" s="233" t="s">
        <v>1250</v>
      </c>
      <c r="B270" s="234"/>
      <c r="C270" s="62">
        <f>SUM(C271:C276)</f>
        <v>5000</v>
      </c>
      <c r="D270" s="62">
        <f>SUM(D271:D276)</f>
        <v>5000</v>
      </c>
      <c r="E270" s="130">
        <f>SUM(E271:E276)</f>
        <v>0</v>
      </c>
      <c r="F270" s="14">
        <f aca="true" t="shared" si="16" ref="F270:F276">E270/D270*100</f>
        <v>0</v>
      </c>
    </row>
    <row r="271" spans="1:6" ht="18" customHeight="1">
      <c r="A271" s="229" t="s">
        <v>1025</v>
      </c>
      <c r="B271" s="230"/>
      <c r="C271" s="4">
        <v>5000</v>
      </c>
      <c r="D271" s="4">
        <v>5000</v>
      </c>
      <c r="E271" s="14">
        <v>0</v>
      </c>
      <c r="F271" s="14">
        <f t="shared" si="16"/>
        <v>0</v>
      </c>
    </row>
    <row r="272" spans="1:6" ht="18" customHeight="1">
      <c r="A272" s="229" t="s">
        <v>1227</v>
      </c>
      <c r="B272" s="230"/>
      <c r="C272" s="4">
        <v>0</v>
      </c>
      <c r="D272" s="4">
        <v>0</v>
      </c>
      <c r="E272" s="14">
        <v>0</v>
      </c>
      <c r="F272" s="14" t="e">
        <f t="shared" si="16"/>
        <v>#DIV/0!</v>
      </c>
    </row>
    <row r="273" spans="1:6" ht="18" customHeight="1">
      <c r="A273" s="229" t="s">
        <v>1231</v>
      </c>
      <c r="B273" s="230"/>
      <c r="C273" s="4">
        <v>0</v>
      </c>
      <c r="D273" s="4">
        <v>0</v>
      </c>
      <c r="E273" s="14">
        <v>0</v>
      </c>
      <c r="F273" s="14" t="e">
        <f t="shared" si="16"/>
        <v>#DIV/0!</v>
      </c>
    </row>
    <row r="274" spans="1:6" ht="18" customHeight="1">
      <c r="A274" s="229" t="s">
        <v>1228</v>
      </c>
      <c r="B274" s="230"/>
      <c r="C274" s="4">
        <v>0</v>
      </c>
      <c r="D274" s="4">
        <v>0</v>
      </c>
      <c r="E274" s="14">
        <v>0</v>
      </c>
      <c r="F274" s="14" t="e">
        <f t="shared" si="16"/>
        <v>#DIV/0!</v>
      </c>
    </row>
    <row r="275" spans="1:6" ht="18" customHeight="1">
      <c r="A275" s="229" t="s">
        <v>1229</v>
      </c>
      <c r="B275" s="230"/>
      <c r="C275" s="4">
        <v>0</v>
      </c>
      <c r="D275" s="4">
        <v>0</v>
      </c>
      <c r="E275" s="14">
        <v>0</v>
      </c>
      <c r="F275" s="14" t="e">
        <f t="shared" si="16"/>
        <v>#DIV/0!</v>
      </c>
    </row>
    <row r="276" spans="1:6" ht="18" customHeight="1">
      <c r="A276" s="229" t="s">
        <v>1234</v>
      </c>
      <c r="B276" s="230"/>
      <c r="C276" s="4">
        <v>0</v>
      </c>
      <c r="D276" s="4">
        <v>0</v>
      </c>
      <c r="E276" s="14">
        <v>0</v>
      </c>
      <c r="F276" s="14" t="e">
        <f t="shared" si="16"/>
        <v>#DIV/0!</v>
      </c>
    </row>
    <row r="277" spans="1:6" ht="21" customHeight="1">
      <c r="A277" s="39">
        <v>45</v>
      </c>
      <c r="B277" s="70" t="s">
        <v>75</v>
      </c>
      <c r="C277" s="4">
        <v>5000</v>
      </c>
      <c r="D277" s="4">
        <v>5000</v>
      </c>
      <c r="E277" s="14">
        <f>E278</f>
        <v>0</v>
      </c>
      <c r="F277" s="14">
        <f>E277/D277*100</f>
        <v>0</v>
      </c>
    </row>
    <row r="278" spans="1:6" ht="18" customHeight="1">
      <c r="A278" s="39">
        <v>451</v>
      </c>
      <c r="B278" s="70" t="s">
        <v>76</v>
      </c>
      <c r="C278" s="4">
        <v>0</v>
      </c>
      <c r="D278" s="4">
        <v>0</v>
      </c>
      <c r="E278" s="14">
        <f>E279</f>
        <v>0</v>
      </c>
      <c r="F278" s="14" t="e">
        <f>E278/D278*100</f>
        <v>#DIV/0!</v>
      </c>
    </row>
    <row r="279" spans="1:6" ht="15" customHeight="1">
      <c r="A279" s="39">
        <v>4511</v>
      </c>
      <c r="B279" s="70" t="s">
        <v>685</v>
      </c>
      <c r="C279" s="4">
        <v>0</v>
      </c>
      <c r="D279" s="4">
        <v>0</v>
      </c>
      <c r="E279" s="14">
        <v>0</v>
      </c>
      <c r="F279" s="14" t="e">
        <f>E279/D279*100</f>
        <v>#DIV/0!</v>
      </c>
    </row>
    <row r="280" spans="1:6" ht="25.5" customHeight="1">
      <c r="A280" s="237" t="s">
        <v>757</v>
      </c>
      <c r="B280" s="238"/>
      <c r="C280" s="5">
        <f>C288</f>
        <v>5000</v>
      </c>
      <c r="D280" s="5">
        <f>D288</f>
        <v>5000</v>
      </c>
      <c r="E280" s="132">
        <f>E288</f>
        <v>0</v>
      </c>
      <c r="F280" s="14">
        <f aca="true" t="shared" si="17" ref="F280:F313">E280/D280*100</f>
        <v>0</v>
      </c>
    </row>
    <row r="281" spans="1:6" ht="25.5" customHeight="1">
      <c r="A281" s="233" t="s">
        <v>1045</v>
      </c>
      <c r="B281" s="234"/>
      <c r="C281" s="62">
        <f>SUM(C282:C287)</f>
        <v>5000</v>
      </c>
      <c r="D281" s="62">
        <f>SUM(D282:D287)</f>
        <v>5000</v>
      </c>
      <c r="E281" s="130">
        <f>SUM(E282:E287)</f>
        <v>0</v>
      </c>
      <c r="F281" s="14">
        <f t="shared" si="17"/>
        <v>0</v>
      </c>
    </row>
    <row r="282" spans="1:6" ht="18" customHeight="1">
      <c r="A282" s="229" t="s">
        <v>1025</v>
      </c>
      <c r="B282" s="230"/>
      <c r="C282" s="4">
        <v>5000</v>
      </c>
      <c r="D282" s="4">
        <v>5000</v>
      </c>
      <c r="E282" s="14">
        <v>0</v>
      </c>
      <c r="F282" s="14">
        <f t="shared" si="17"/>
        <v>0</v>
      </c>
    </row>
    <row r="283" spans="1:6" ht="18" customHeight="1">
      <c r="A283" s="229" t="s">
        <v>1227</v>
      </c>
      <c r="B283" s="230"/>
      <c r="C283" s="4">
        <v>0</v>
      </c>
      <c r="D283" s="4">
        <v>0</v>
      </c>
      <c r="E283" s="14">
        <v>0</v>
      </c>
      <c r="F283" s="14" t="e">
        <f t="shared" si="17"/>
        <v>#DIV/0!</v>
      </c>
    </row>
    <row r="284" spans="1:6" ht="18" customHeight="1">
      <c r="A284" s="229" t="s">
        <v>1231</v>
      </c>
      <c r="B284" s="230"/>
      <c r="C284" s="4">
        <v>0</v>
      </c>
      <c r="D284" s="4">
        <v>0</v>
      </c>
      <c r="E284" s="14">
        <v>0</v>
      </c>
      <c r="F284" s="14" t="e">
        <f t="shared" si="17"/>
        <v>#DIV/0!</v>
      </c>
    </row>
    <row r="285" spans="1:6" ht="18" customHeight="1">
      <c r="A285" s="229" t="s">
        <v>1228</v>
      </c>
      <c r="B285" s="230"/>
      <c r="C285" s="4">
        <v>0</v>
      </c>
      <c r="D285" s="4">
        <v>0</v>
      </c>
      <c r="E285" s="14">
        <v>0</v>
      </c>
      <c r="F285" s="14" t="e">
        <f t="shared" si="17"/>
        <v>#DIV/0!</v>
      </c>
    </row>
    <row r="286" spans="1:6" ht="18" customHeight="1">
      <c r="A286" s="229" t="s">
        <v>1229</v>
      </c>
      <c r="B286" s="230"/>
      <c r="C286" s="4">
        <v>0</v>
      </c>
      <c r="D286" s="4">
        <v>0</v>
      </c>
      <c r="E286" s="14">
        <v>0</v>
      </c>
      <c r="F286" s="14" t="e">
        <f t="shared" si="17"/>
        <v>#DIV/0!</v>
      </c>
    </row>
    <row r="287" spans="1:6" ht="18" customHeight="1">
      <c r="A287" s="229" t="s">
        <v>1234</v>
      </c>
      <c r="B287" s="230"/>
      <c r="C287" s="4">
        <v>0</v>
      </c>
      <c r="D287" s="4">
        <v>0</v>
      </c>
      <c r="E287" s="14">
        <v>0</v>
      </c>
      <c r="F287" s="14" t="e">
        <f t="shared" si="17"/>
        <v>#DIV/0!</v>
      </c>
    </row>
    <row r="288" spans="1:6" ht="21" customHeight="1">
      <c r="A288" s="39">
        <v>45</v>
      </c>
      <c r="B288" s="70" t="s">
        <v>75</v>
      </c>
      <c r="C288" s="4">
        <v>5000</v>
      </c>
      <c r="D288" s="4">
        <v>5000</v>
      </c>
      <c r="E288" s="14">
        <f>E289</f>
        <v>0</v>
      </c>
      <c r="F288" s="14">
        <f t="shared" si="17"/>
        <v>0</v>
      </c>
    </row>
    <row r="289" spans="1:6" ht="18" customHeight="1">
      <c r="A289" s="39">
        <v>451</v>
      </c>
      <c r="B289" s="70" t="s">
        <v>76</v>
      </c>
      <c r="C289" s="4">
        <v>0</v>
      </c>
      <c r="D289" s="4">
        <v>0</v>
      </c>
      <c r="E289" s="14">
        <f>E290</f>
        <v>0</v>
      </c>
      <c r="F289" s="14" t="e">
        <f t="shared" si="17"/>
        <v>#DIV/0!</v>
      </c>
    </row>
    <row r="290" spans="1:6" ht="15" customHeight="1">
      <c r="A290" s="39">
        <v>4511</v>
      </c>
      <c r="B290" s="70" t="s">
        <v>758</v>
      </c>
      <c r="C290" s="4">
        <v>0</v>
      </c>
      <c r="D290" s="4">
        <v>0</v>
      </c>
      <c r="E290" s="14">
        <v>0</v>
      </c>
      <c r="F290" s="14" t="e">
        <f t="shared" si="17"/>
        <v>#DIV/0!</v>
      </c>
    </row>
    <row r="291" spans="1:6" ht="25.5" customHeight="1">
      <c r="A291" s="237" t="s">
        <v>1124</v>
      </c>
      <c r="B291" s="238"/>
      <c r="C291" s="5">
        <f>C299</f>
        <v>34000</v>
      </c>
      <c r="D291" s="5">
        <f>D299</f>
        <v>34000</v>
      </c>
      <c r="E291" s="132">
        <f>E299</f>
        <v>0</v>
      </c>
      <c r="F291" s="14">
        <f t="shared" si="17"/>
        <v>0</v>
      </c>
    </row>
    <row r="292" spans="1:6" ht="25.5" customHeight="1">
      <c r="A292" s="233" t="s">
        <v>1046</v>
      </c>
      <c r="B292" s="234"/>
      <c r="C292" s="62">
        <f>SUM(C293:C298)</f>
        <v>34000</v>
      </c>
      <c r="D292" s="62">
        <f>SUM(D293:D298)</f>
        <v>34000</v>
      </c>
      <c r="E292" s="130">
        <f>SUM(E293:E298)</f>
        <v>0</v>
      </c>
      <c r="F292" s="14">
        <f aca="true" t="shared" si="18" ref="F292:F298">E292/D292*100</f>
        <v>0</v>
      </c>
    </row>
    <row r="293" spans="1:6" ht="18" customHeight="1">
      <c r="A293" s="229" t="s">
        <v>1025</v>
      </c>
      <c r="B293" s="230"/>
      <c r="C293" s="4">
        <v>14000</v>
      </c>
      <c r="D293" s="4">
        <v>14000</v>
      </c>
      <c r="E293" s="14">
        <v>0</v>
      </c>
      <c r="F293" s="14">
        <f t="shared" si="18"/>
        <v>0</v>
      </c>
    </row>
    <row r="294" spans="1:6" ht="18" customHeight="1">
      <c r="A294" s="229" t="s">
        <v>1227</v>
      </c>
      <c r="B294" s="230"/>
      <c r="C294" s="4">
        <v>20000</v>
      </c>
      <c r="D294" s="4">
        <v>20000</v>
      </c>
      <c r="E294" s="14">
        <v>0</v>
      </c>
      <c r="F294" s="14">
        <f t="shared" si="18"/>
        <v>0</v>
      </c>
    </row>
    <row r="295" spans="1:6" ht="18" customHeight="1">
      <c r="A295" s="229" t="s">
        <v>1231</v>
      </c>
      <c r="B295" s="230"/>
      <c r="C295" s="4">
        <v>0</v>
      </c>
      <c r="D295" s="4">
        <v>0</v>
      </c>
      <c r="E295" s="14">
        <v>0</v>
      </c>
      <c r="F295" s="14" t="e">
        <f t="shared" si="18"/>
        <v>#DIV/0!</v>
      </c>
    </row>
    <row r="296" spans="1:6" ht="18" customHeight="1">
      <c r="A296" s="229" t="s">
        <v>1228</v>
      </c>
      <c r="B296" s="230"/>
      <c r="C296" s="4">
        <v>0</v>
      </c>
      <c r="D296" s="4">
        <v>0</v>
      </c>
      <c r="E296" s="14">
        <v>0</v>
      </c>
      <c r="F296" s="14" t="e">
        <f t="shared" si="18"/>
        <v>#DIV/0!</v>
      </c>
    </row>
    <row r="297" spans="1:6" ht="18" customHeight="1">
      <c r="A297" s="229" t="s">
        <v>1229</v>
      </c>
      <c r="B297" s="230"/>
      <c r="C297" s="4">
        <v>0</v>
      </c>
      <c r="D297" s="4">
        <v>0</v>
      </c>
      <c r="E297" s="14">
        <v>0</v>
      </c>
      <c r="F297" s="14" t="e">
        <f t="shared" si="18"/>
        <v>#DIV/0!</v>
      </c>
    </row>
    <row r="298" spans="1:6" ht="18" customHeight="1">
      <c r="A298" s="229" t="s">
        <v>1234</v>
      </c>
      <c r="B298" s="230"/>
      <c r="C298" s="4">
        <v>0</v>
      </c>
      <c r="D298" s="4">
        <v>0</v>
      </c>
      <c r="E298" s="14">
        <v>0</v>
      </c>
      <c r="F298" s="14" t="e">
        <f t="shared" si="18"/>
        <v>#DIV/0!</v>
      </c>
    </row>
    <row r="299" spans="1:6" ht="21" customHeight="1">
      <c r="A299" s="39">
        <v>45</v>
      </c>
      <c r="B299" s="70" t="s">
        <v>75</v>
      </c>
      <c r="C299" s="4">
        <v>34000</v>
      </c>
      <c r="D299" s="4">
        <v>34000</v>
      </c>
      <c r="E299" s="14">
        <f>E300</f>
        <v>0</v>
      </c>
      <c r="F299" s="14">
        <f t="shared" si="17"/>
        <v>0</v>
      </c>
    </row>
    <row r="300" spans="1:6" ht="18" customHeight="1">
      <c r="A300" s="39">
        <v>451</v>
      </c>
      <c r="B300" s="70" t="s">
        <v>76</v>
      </c>
      <c r="C300" s="4">
        <v>0</v>
      </c>
      <c r="D300" s="4">
        <v>0</v>
      </c>
      <c r="E300" s="14">
        <f>E301</f>
        <v>0</v>
      </c>
      <c r="F300" s="14" t="e">
        <f t="shared" si="17"/>
        <v>#DIV/0!</v>
      </c>
    </row>
    <row r="301" spans="1:6" ht="15" customHeight="1">
      <c r="A301" s="39">
        <v>4511</v>
      </c>
      <c r="B301" s="70" t="s">
        <v>759</v>
      </c>
      <c r="C301" s="4">
        <v>0</v>
      </c>
      <c r="D301" s="4">
        <v>0</v>
      </c>
      <c r="E301" s="14">
        <v>0</v>
      </c>
      <c r="F301" s="14" t="e">
        <f t="shared" si="17"/>
        <v>#DIV/0!</v>
      </c>
    </row>
    <row r="302" spans="1:6" ht="25.5" customHeight="1">
      <c r="A302" s="237" t="s">
        <v>1359</v>
      </c>
      <c r="B302" s="238"/>
      <c r="C302" s="5">
        <f>C310</f>
        <v>50000</v>
      </c>
      <c r="D302" s="5">
        <f>D310</f>
        <v>50000</v>
      </c>
      <c r="E302" s="132">
        <f>E310</f>
        <v>0</v>
      </c>
      <c r="F302" s="14">
        <f t="shared" si="17"/>
        <v>0</v>
      </c>
    </row>
    <row r="303" spans="1:6" ht="25.5" customHeight="1">
      <c r="A303" s="233" t="s">
        <v>1360</v>
      </c>
      <c r="B303" s="234"/>
      <c r="C303" s="62">
        <f>SUM(C304:C309)</f>
        <v>50000</v>
      </c>
      <c r="D303" s="62">
        <f>SUM(D304:D309)</f>
        <v>50000</v>
      </c>
      <c r="E303" s="130">
        <f>SUM(E304:E309)</f>
        <v>0</v>
      </c>
      <c r="F303" s="14">
        <f t="shared" si="17"/>
        <v>0</v>
      </c>
    </row>
    <row r="304" spans="1:6" ht="18" customHeight="1">
      <c r="A304" s="229" t="s">
        <v>1025</v>
      </c>
      <c r="B304" s="230"/>
      <c r="C304" s="4">
        <v>50000</v>
      </c>
      <c r="D304" s="4">
        <v>50000</v>
      </c>
      <c r="E304" s="14">
        <v>0</v>
      </c>
      <c r="F304" s="14">
        <f t="shared" si="17"/>
        <v>0</v>
      </c>
    </row>
    <row r="305" spans="1:6" ht="18" customHeight="1">
      <c r="A305" s="229" t="s">
        <v>1227</v>
      </c>
      <c r="B305" s="230"/>
      <c r="C305" s="4">
        <v>0</v>
      </c>
      <c r="D305" s="4">
        <v>0</v>
      </c>
      <c r="E305" s="14">
        <v>0</v>
      </c>
      <c r="F305" s="14" t="e">
        <f t="shared" si="17"/>
        <v>#DIV/0!</v>
      </c>
    </row>
    <row r="306" spans="1:6" ht="18" customHeight="1">
      <c r="A306" s="229" t="s">
        <v>1231</v>
      </c>
      <c r="B306" s="230"/>
      <c r="C306" s="4">
        <v>0</v>
      </c>
      <c r="D306" s="4">
        <v>0</v>
      </c>
      <c r="E306" s="14">
        <v>0</v>
      </c>
      <c r="F306" s="14" t="e">
        <f t="shared" si="17"/>
        <v>#DIV/0!</v>
      </c>
    </row>
    <row r="307" spans="1:6" ht="18" customHeight="1">
      <c r="A307" s="229" t="s">
        <v>1228</v>
      </c>
      <c r="B307" s="230"/>
      <c r="C307" s="4">
        <v>0</v>
      </c>
      <c r="D307" s="4">
        <v>0</v>
      </c>
      <c r="E307" s="14">
        <v>0</v>
      </c>
      <c r="F307" s="14" t="e">
        <f t="shared" si="17"/>
        <v>#DIV/0!</v>
      </c>
    </row>
    <row r="308" spans="1:6" ht="18" customHeight="1">
      <c r="A308" s="229" t="s">
        <v>1229</v>
      </c>
      <c r="B308" s="230"/>
      <c r="C308" s="4">
        <v>0</v>
      </c>
      <c r="D308" s="4">
        <v>0</v>
      </c>
      <c r="E308" s="14">
        <v>0</v>
      </c>
      <c r="F308" s="14" t="e">
        <f t="shared" si="17"/>
        <v>#DIV/0!</v>
      </c>
    </row>
    <row r="309" spans="1:6" ht="18" customHeight="1">
      <c r="A309" s="229" t="s">
        <v>1234</v>
      </c>
      <c r="B309" s="230"/>
      <c r="C309" s="4">
        <v>0</v>
      </c>
      <c r="D309" s="4">
        <v>0</v>
      </c>
      <c r="E309" s="14">
        <v>0</v>
      </c>
      <c r="F309" s="14" t="e">
        <f t="shared" si="17"/>
        <v>#DIV/0!</v>
      </c>
    </row>
    <row r="310" spans="1:6" ht="21" customHeight="1">
      <c r="A310" s="39">
        <v>32</v>
      </c>
      <c r="B310" s="70" t="s">
        <v>63</v>
      </c>
      <c r="C310" s="4">
        <v>50000</v>
      </c>
      <c r="D310" s="4">
        <v>50000</v>
      </c>
      <c r="E310" s="14">
        <f>E311</f>
        <v>0</v>
      </c>
      <c r="F310" s="14">
        <f t="shared" si="17"/>
        <v>0</v>
      </c>
    </row>
    <row r="311" spans="1:6" ht="18" customHeight="1">
      <c r="A311" s="39">
        <v>323</v>
      </c>
      <c r="B311" s="70" t="s">
        <v>72</v>
      </c>
      <c r="C311" s="4">
        <v>0</v>
      </c>
      <c r="D311" s="4">
        <v>0</v>
      </c>
      <c r="E311" s="14">
        <f>SUM(E312:E313)</f>
        <v>0</v>
      </c>
      <c r="F311" s="14" t="e">
        <f t="shared" si="17"/>
        <v>#DIV/0!</v>
      </c>
    </row>
    <row r="312" spans="1:6" ht="15" customHeight="1">
      <c r="A312" s="39">
        <v>3232</v>
      </c>
      <c r="B312" s="70" t="s">
        <v>73</v>
      </c>
      <c r="C312" s="4"/>
      <c r="D312" s="4"/>
      <c r="E312" s="14">
        <v>0</v>
      </c>
      <c r="F312" s="14" t="e">
        <f t="shared" si="17"/>
        <v>#DIV/0!</v>
      </c>
    </row>
    <row r="313" spans="1:6" ht="15" customHeight="1">
      <c r="A313" s="39" t="s">
        <v>337</v>
      </c>
      <c r="B313" s="70" t="s">
        <v>683</v>
      </c>
      <c r="C313" s="4"/>
      <c r="D313" s="4"/>
      <c r="E313" s="14">
        <v>0</v>
      </c>
      <c r="F313" s="14" t="e">
        <f t="shared" si="17"/>
        <v>#DIV/0!</v>
      </c>
    </row>
    <row r="314" spans="1:6" ht="30" customHeight="1">
      <c r="A314" s="235" t="s">
        <v>1421</v>
      </c>
      <c r="B314" s="236"/>
      <c r="C314" s="61">
        <f>C315+C326+C337</f>
        <v>84000</v>
      </c>
      <c r="D314" s="61">
        <f>D315+D326+D337</f>
        <v>84000</v>
      </c>
      <c r="E314" s="129">
        <f>E315+E326+E337</f>
        <v>0</v>
      </c>
      <c r="F314" s="14">
        <f aca="true" t="shared" si="19" ref="F314:F326">E314/D314*100</f>
        <v>0</v>
      </c>
    </row>
    <row r="315" spans="1:6" ht="25.5" customHeight="1">
      <c r="A315" s="237" t="s">
        <v>1422</v>
      </c>
      <c r="B315" s="238"/>
      <c r="C315" s="5">
        <f>C323</f>
        <v>0</v>
      </c>
      <c r="D315" s="5">
        <f>D323</f>
        <v>0</v>
      </c>
      <c r="E315" s="132">
        <f>E323</f>
        <v>0</v>
      </c>
      <c r="F315" s="14" t="e">
        <f t="shared" si="19"/>
        <v>#DIV/0!</v>
      </c>
    </row>
    <row r="316" spans="1:6" ht="25.5" customHeight="1">
      <c r="A316" s="233" t="s">
        <v>1047</v>
      </c>
      <c r="B316" s="234"/>
      <c r="C316" s="62">
        <f>SUM(C317:C322)</f>
        <v>0</v>
      </c>
      <c r="D316" s="62">
        <f>SUM(D317:D322)</f>
        <v>0</v>
      </c>
      <c r="E316" s="130">
        <f>SUM(E317:E322)</f>
        <v>0</v>
      </c>
      <c r="F316" s="14" t="e">
        <f t="shared" si="19"/>
        <v>#DIV/0!</v>
      </c>
    </row>
    <row r="317" spans="1:6" ht="18" customHeight="1">
      <c r="A317" s="229" t="s">
        <v>1025</v>
      </c>
      <c r="B317" s="230"/>
      <c r="C317" s="4">
        <v>0</v>
      </c>
      <c r="D317" s="4">
        <v>0</v>
      </c>
      <c r="E317" s="14">
        <v>0</v>
      </c>
      <c r="F317" s="14" t="e">
        <f t="shared" si="19"/>
        <v>#DIV/0!</v>
      </c>
    </row>
    <row r="318" spans="1:6" ht="18" customHeight="1">
      <c r="A318" s="229" t="s">
        <v>1227</v>
      </c>
      <c r="B318" s="230"/>
      <c r="C318" s="4">
        <v>0</v>
      </c>
      <c r="D318" s="4">
        <v>0</v>
      </c>
      <c r="E318" s="14">
        <v>0</v>
      </c>
      <c r="F318" s="14" t="e">
        <f t="shared" si="19"/>
        <v>#DIV/0!</v>
      </c>
    </row>
    <row r="319" spans="1:6" ht="18" customHeight="1">
      <c r="A319" s="229" t="s">
        <v>1231</v>
      </c>
      <c r="B319" s="230"/>
      <c r="C319" s="4">
        <v>0</v>
      </c>
      <c r="D319" s="4">
        <v>0</v>
      </c>
      <c r="E319" s="14">
        <v>0</v>
      </c>
      <c r="F319" s="14" t="e">
        <f t="shared" si="19"/>
        <v>#DIV/0!</v>
      </c>
    </row>
    <row r="320" spans="1:6" ht="18" customHeight="1">
      <c r="A320" s="229" t="s">
        <v>1228</v>
      </c>
      <c r="B320" s="230"/>
      <c r="C320" s="4">
        <v>0</v>
      </c>
      <c r="D320" s="4">
        <v>0</v>
      </c>
      <c r="E320" s="14">
        <v>0</v>
      </c>
      <c r="F320" s="14" t="e">
        <f t="shared" si="19"/>
        <v>#DIV/0!</v>
      </c>
    </row>
    <row r="321" spans="1:6" ht="18" customHeight="1">
      <c r="A321" s="229" t="s">
        <v>1229</v>
      </c>
      <c r="B321" s="230"/>
      <c r="C321" s="4">
        <v>0</v>
      </c>
      <c r="D321" s="4">
        <v>0</v>
      </c>
      <c r="E321" s="14">
        <v>0</v>
      </c>
      <c r="F321" s="14" t="e">
        <f t="shared" si="19"/>
        <v>#DIV/0!</v>
      </c>
    </row>
    <row r="322" spans="1:6" ht="18" customHeight="1">
      <c r="A322" s="229" t="s">
        <v>1234</v>
      </c>
      <c r="B322" s="230"/>
      <c r="C322" s="4">
        <v>0</v>
      </c>
      <c r="D322" s="4">
        <v>0</v>
      </c>
      <c r="E322" s="14">
        <v>0</v>
      </c>
      <c r="F322" s="14" t="e">
        <f t="shared" si="19"/>
        <v>#DIV/0!</v>
      </c>
    </row>
    <row r="323" spans="1:6" ht="21" customHeight="1">
      <c r="A323" s="39">
        <v>35</v>
      </c>
      <c r="B323" s="3" t="s">
        <v>77</v>
      </c>
      <c r="C323" s="4">
        <f>C324</f>
        <v>0</v>
      </c>
      <c r="D323" s="4">
        <f>D324</f>
        <v>0</v>
      </c>
      <c r="E323" s="14">
        <f>E324</f>
        <v>0</v>
      </c>
      <c r="F323" s="14" t="e">
        <f t="shared" si="19"/>
        <v>#DIV/0!</v>
      </c>
    </row>
    <row r="324" spans="1:6" ht="18" customHeight="1">
      <c r="A324" s="39">
        <v>352</v>
      </c>
      <c r="B324" s="3" t="s">
        <v>78</v>
      </c>
      <c r="C324" s="4">
        <v>0</v>
      </c>
      <c r="D324" s="4">
        <v>0</v>
      </c>
      <c r="E324" s="14">
        <f>SUM(E325:E325)</f>
        <v>0</v>
      </c>
      <c r="F324" s="14" t="e">
        <f t="shared" si="19"/>
        <v>#DIV/0!</v>
      </c>
    </row>
    <row r="325" spans="1:6" ht="15" customHeight="1">
      <c r="A325" s="39">
        <v>3523</v>
      </c>
      <c r="B325" s="3" t="s">
        <v>79</v>
      </c>
      <c r="C325" s="4">
        <v>0</v>
      </c>
      <c r="D325" s="4">
        <v>0</v>
      </c>
      <c r="E325" s="14">
        <v>0</v>
      </c>
      <c r="F325" s="14" t="e">
        <f t="shared" si="19"/>
        <v>#DIV/0!</v>
      </c>
    </row>
    <row r="326" spans="1:6" ht="25.5" customHeight="1">
      <c r="A326" s="237" t="s">
        <v>760</v>
      </c>
      <c r="B326" s="238"/>
      <c r="C326" s="5">
        <f>C334</f>
        <v>4000</v>
      </c>
      <c r="D326" s="5">
        <f>D334</f>
        <v>4000</v>
      </c>
      <c r="E326" s="132">
        <f>E334</f>
        <v>0</v>
      </c>
      <c r="F326" s="14">
        <f t="shared" si="19"/>
        <v>0</v>
      </c>
    </row>
    <row r="327" spans="1:6" ht="25.5" customHeight="1">
      <c r="A327" s="233" t="s">
        <v>1361</v>
      </c>
      <c r="B327" s="234"/>
      <c r="C327" s="62">
        <f>SUM(C328:C333)</f>
        <v>4000</v>
      </c>
      <c r="D327" s="62">
        <f>SUM(D328:D333)</f>
        <v>4000</v>
      </c>
      <c r="E327" s="130">
        <f>SUM(E328:E333)</f>
        <v>0</v>
      </c>
      <c r="F327" s="14">
        <f aca="true" t="shared" si="20" ref="F327:F333">E327/D327*100</f>
        <v>0</v>
      </c>
    </row>
    <row r="328" spans="1:6" ht="18" customHeight="1">
      <c r="A328" s="229" t="s">
        <v>1025</v>
      </c>
      <c r="B328" s="230"/>
      <c r="C328" s="4">
        <v>4000</v>
      </c>
      <c r="D328" s="4">
        <v>4000</v>
      </c>
      <c r="E328" s="14">
        <v>0</v>
      </c>
      <c r="F328" s="14">
        <f t="shared" si="20"/>
        <v>0</v>
      </c>
    </row>
    <row r="329" spans="1:6" ht="18" customHeight="1">
      <c r="A329" s="229" t="s">
        <v>1227</v>
      </c>
      <c r="B329" s="230"/>
      <c r="C329" s="4">
        <v>0</v>
      </c>
      <c r="D329" s="4">
        <v>0</v>
      </c>
      <c r="E329" s="14">
        <v>0</v>
      </c>
      <c r="F329" s="14" t="e">
        <f t="shared" si="20"/>
        <v>#DIV/0!</v>
      </c>
    </row>
    <row r="330" spans="1:6" ht="18" customHeight="1">
      <c r="A330" s="229" t="s">
        <v>1231</v>
      </c>
      <c r="B330" s="230"/>
      <c r="C330" s="4">
        <v>0</v>
      </c>
      <c r="D330" s="4">
        <v>0</v>
      </c>
      <c r="E330" s="14">
        <v>0</v>
      </c>
      <c r="F330" s="14" t="e">
        <f t="shared" si="20"/>
        <v>#DIV/0!</v>
      </c>
    </row>
    <row r="331" spans="1:6" ht="18" customHeight="1">
      <c r="A331" s="229" t="s">
        <v>1228</v>
      </c>
      <c r="B331" s="230"/>
      <c r="C331" s="4">
        <v>0</v>
      </c>
      <c r="D331" s="4">
        <v>0</v>
      </c>
      <c r="E331" s="14">
        <v>0</v>
      </c>
      <c r="F331" s="14" t="e">
        <f t="shared" si="20"/>
        <v>#DIV/0!</v>
      </c>
    </row>
    <row r="332" spans="1:6" ht="18" customHeight="1">
      <c r="A332" s="229" t="s">
        <v>1229</v>
      </c>
      <c r="B332" s="230"/>
      <c r="C332" s="4">
        <v>0</v>
      </c>
      <c r="D332" s="4">
        <v>0</v>
      </c>
      <c r="E332" s="14">
        <v>0</v>
      </c>
      <c r="F332" s="14" t="e">
        <f t="shared" si="20"/>
        <v>#DIV/0!</v>
      </c>
    </row>
    <row r="333" spans="1:6" ht="18" customHeight="1">
      <c r="A333" s="229" t="s">
        <v>1234</v>
      </c>
      <c r="B333" s="230"/>
      <c r="C333" s="4">
        <v>0</v>
      </c>
      <c r="D333" s="4">
        <v>0</v>
      </c>
      <c r="E333" s="14">
        <v>0</v>
      </c>
      <c r="F333" s="14" t="e">
        <f t="shared" si="20"/>
        <v>#DIV/0!</v>
      </c>
    </row>
    <row r="334" spans="1:6" ht="21" customHeight="1">
      <c r="A334" s="39" t="s">
        <v>761</v>
      </c>
      <c r="B334" s="3" t="s">
        <v>556</v>
      </c>
      <c r="C334" s="4">
        <v>4000</v>
      </c>
      <c r="D334" s="4">
        <v>4000</v>
      </c>
      <c r="E334" s="14">
        <f>E335</f>
        <v>0</v>
      </c>
      <c r="F334" s="14">
        <f aca="true" t="shared" si="21" ref="F334:F373">E334/D334*100</f>
        <v>0</v>
      </c>
    </row>
    <row r="335" spans="1:6" ht="18" customHeight="1">
      <c r="A335" s="39" t="s">
        <v>762</v>
      </c>
      <c r="B335" s="3" t="s">
        <v>67</v>
      </c>
      <c r="C335" s="4">
        <v>0</v>
      </c>
      <c r="D335" s="4">
        <v>0</v>
      </c>
      <c r="E335" s="14">
        <f>SUM(E336:E336)</f>
        <v>0</v>
      </c>
      <c r="F335" s="14" t="e">
        <f t="shared" si="21"/>
        <v>#DIV/0!</v>
      </c>
    </row>
    <row r="336" spans="1:6" ht="15" customHeight="1">
      <c r="A336" s="39" t="s">
        <v>763</v>
      </c>
      <c r="B336" s="3" t="s">
        <v>764</v>
      </c>
      <c r="C336" s="4"/>
      <c r="D336" s="4"/>
      <c r="E336" s="14">
        <v>0</v>
      </c>
      <c r="F336" s="14" t="e">
        <f t="shared" si="21"/>
        <v>#DIV/0!</v>
      </c>
    </row>
    <row r="337" spans="1:6" ht="25.5" customHeight="1">
      <c r="A337" s="237" t="s">
        <v>1362</v>
      </c>
      <c r="B337" s="238"/>
      <c r="C337" s="5">
        <f>C345</f>
        <v>80000</v>
      </c>
      <c r="D337" s="5">
        <f>D345</f>
        <v>80000</v>
      </c>
      <c r="E337" s="132">
        <f>E345</f>
        <v>0</v>
      </c>
      <c r="F337" s="14">
        <f aca="true" t="shared" si="22" ref="F337:F347">E337/D337*100</f>
        <v>0</v>
      </c>
    </row>
    <row r="338" spans="1:6" ht="25.5" customHeight="1">
      <c r="A338" s="233" t="s">
        <v>1363</v>
      </c>
      <c r="B338" s="234"/>
      <c r="C338" s="62">
        <f>SUM(C339:C344)</f>
        <v>80000</v>
      </c>
      <c r="D338" s="62">
        <f>SUM(D339:D344)</f>
        <v>80000</v>
      </c>
      <c r="E338" s="130">
        <f>SUM(E339:E344)</f>
        <v>0</v>
      </c>
      <c r="F338" s="14">
        <f t="shared" si="22"/>
        <v>0</v>
      </c>
    </row>
    <row r="339" spans="1:6" ht="18" customHeight="1">
      <c r="A339" s="229" t="s">
        <v>1025</v>
      </c>
      <c r="B339" s="230"/>
      <c r="C339" s="4">
        <v>80000</v>
      </c>
      <c r="D339" s="4">
        <v>80000</v>
      </c>
      <c r="E339" s="14">
        <v>0</v>
      </c>
      <c r="F339" s="14">
        <f t="shared" si="22"/>
        <v>0</v>
      </c>
    </row>
    <row r="340" spans="1:6" ht="18" customHeight="1">
      <c r="A340" s="229" t="s">
        <v>1227</v>
      </c>
      <c r="B340" s="230"/>
      <c r="C340" s="4">
        <v>0</v>
      </c>
      <c r="D340" s="4">
        <v>0</v>
      </c>
      <c r="E340" s="14">
        <v>0</v>
      </c>
      <c r="F340" s="14" t="e">
        <f t="shared" si="22"/>
        <v>#DIV/0!</v>
      </c>
    </row>
    <row r="341" spans="1:6" ht="18" customHeight="1">
      <c r="A341" s="229" t="s">
        <v>1231</v>
      </c>
      <c r="B341" s="230"/>
      <c r="C341" s="4">
        <v>0</v>
      </c>
      <c r="D341" s="4">
        <v>0</v>
      </c>
      <c r="E341" s="14">
        <v>0</v>
      </c>
      <c r="F341" s="14" t="e">
        <f t="shared" si="22"/>
        <v>#DIV/0!</v>
      </c>
    </row>
    <row r="342" spans="1:6" ht="18" customHeight="1">
      <c r="A342" s="229" t="s">
        <v>1228</v>
      </c>
      <c r="B342" s="230"/>
      <c r="C342" s="4">
        <v>0</v>
      </c>
      <c r="D342" s="4">
        <v>0</v>
      </c>
      <c r="E342" s="14">
        <v>0</v>
      </c>
      <c r="F342" s="14" t="e">
        <f t="shared" si="22"/>
        <v>#DIV/0!</v>
      </c>
    </row>
    <row r="343" spans="1:6" ht="18" customHeight="1">
      <c r="A343" s="229" t="s">
        <v>1229</v>
      </c>
      <c r="B343" s="230"/>
      <c r="C343" s="4">
        <v>0</v>
      </c>
      <c r="D343" s="4">
        <v>0</v>
      </c>
      <c r="E343" s="14">
        <v>0</v>
      </c>
      <c r="F343" s="14" t="e">
        <f t="shared" si="22"/>
        <v>#DIV/0!</v>
      </c>
    </row>
    <row r="344" spans="1:6" ht="18" customHeight="1">
      <c r="A344" s="229" t="s">
        <v>1234</v>
      </c>
      <c r="B344" s="230"/>
      <c r="C344" s="4">
        <v>0</v>
      </c>
      <c r="D344" s="4">
        <v>0</v>
      </c>
      <c r="E344" s="14">
        <v>0</v>
      </c>
      <c r="F344" s="14" t="e">
        <f t="shared" si="22"/>
        <v>#DIV/0!</v>
      </c>
    </row>
    <row r="345" spans="1:6" ht="21" customHeight="1">
      <c r="A345" s="39">
        <v>41</v>
      </c>
      <c r="B345" s="3" t="s">
        <v>81</v>
      </c>
      <c r="C345" s="4">
        <v>80000</v>
      </c>
      <c r="D345" s="4">
        <v>80000</v>
      </c>
      <c r="E345" s="14">
        <f>E346</f>
        <v>0</v>
      </c>
      <c r="F345" s="14">
        <f t="shared" si="22"/>
        <v>0</v>
      </c>
    </row>
    <row r="346" spans="1:6" ht="18" customHeight="1">
      <c r="A346" s="39">
        <v>411</v>
      </c>
      <c r="B346" s="3" t="s">
        <v>82</v>
      </c>
      <c r="C346" s="4">
        <v>0</v>
      </c>
      <c r="D346" s="4">
        <v>0</v>
      </c>
      <c r="E346" s="14">
        <f>E347</f>
        <v>0</v>
      </c>
      <c r="F346" s="14" t="e">
        <f t="shared" si="22"/>
        <v>#DIV/0!</v>
      </c>
    </row>
    <row r="347" spans="1:6" ht="15" customHeight="1">
      <c r="A347" s="39">
        <v>4111</v>
      </c>
      <c r="B347" s="3" t="s">
        <v>1364</v>
      </c>
      <c r="C347" s="4">
        <v>0</v>
      </c>
      <c r="D347" s="4">
        <v>0</v>
      </c>
      <c r="E347" s="14">
        <v>0</v>
      </c>
      <c r="F347" s="14" t="e">
        <f t="shared" si="22"/>
        <v>#DIV/0!</v>
      </c>
    </row>
    <row r="348" spans="1:6" ht="30" customHeight="1">
      <c r="A348" s="235" t="s">
        <v>1125</v>
      </c>
      <c r="B348" s="236"/>
      <c r="C348" s="61">
        <f>C349+C362+C373</f>
        <v>650000</v>
      </c>
      <c r="D348" s="61">
        <f>D349+D362+D373</f>
        <v>650000</v>
      </c>
      <c r="E348" s="129">
        <f>E349+E362+E373</f>
        <v>78006.82</v>
      </c>
      <c r="F348" s="14">
        <f t="shared" si="21"/>
        <v>12.001049230769231</v>
      </c>
    </row>
    <row r="349" spans="1:6" ht="25.5" customHeight="1">
      <c r="A349" s="237" t="s">
        <v>686</v>
      </c>
      <c r="B349" s="238"/>
      <c r="C349" s="5">
        <f>C357</f>
        <v>130000</v>
      </c>
      <c r="D349" s="5">
        <f>D357</f>
        <v>130000</v>
      </c>
      <c r="E349" s="132">
        <f>E357</f>
        <v>15944.77</v>
      </c>
      <c r="F349" s="14">
        <f t="shared" si="21"/>
        <v>12.265207692307694</v>
      </c>
    </row>
    <row r="350" spans="1:6" ht="25.5" customHeight="1">
      <c r="A350" s="233" t="s">
        <v>1048</v>
      </c>
      <c r="B350" s="234"/>
      <c r="C350" s="62">
        <f>SUM(C351:C356)</f>
        <v>130000</v>
      </c>
      <c r="D350" s="62">
        <f>SUM(D351:D356)</f>
        <v>130000</v>
      </c>
      <c r="E350" s="130">
        <f>SUM(E351:E356)</f>
        <v>15944.77</v>
      </c>
      <c r="F350" s="14">
        <f t="shared" si="21"/>
        <v>12.265207692307694</v>
      </c>
    </row>
    <row r="351" spans="1:6" ht="18" customHeight="1">
      <c r="A351" s="229" t="s">
        <v>1025</v>
      </c>
      <c r="B351" s="230"/>
      <c r="C351" s="4">
        <v>0</v>
      </c>
      <c r="D351" s="4">
        <v>0</v>
      </c>
      <c r="E351" s="14">
        <v>0</v>
      </c>
      <c r="F351" s="14" t="e">
        <f t="shared" si="21"/>
        <v>#DIV/0!</v>
      </c>
    </row>
    <row r="352" spans="1:6" ht="18" customHeight="1">
      <c r="A352" s="229" t="s">
        <v>1227</v>
      </c>
      <c r="B352" s="230"/>
      <c r="C352" s="4">
        <v>0</v>
      </c>
      <c r="D352" s="4">
        <v>0</v>
      </c>
      <c r="E352" s="14">
        <v>0</v>
      </c>
      <c r="F352" s="14" t="e">
        <f t="shared" si="21"/>
        <v>#DIV/0!</v>
      </c>
    </row>
    <row r="353" spans="1:6" ht="18" customHeight="1">
      <c r="A353" s="229" t="s">
        <v>1231</v>
      </c>
      <c r="B353" s="230"/>
      <c r="C353" s="4">
        <v>130000</v>
      </c>
      <c r="D353" s="4">
        <v>130000</v>
      </c>
      <c r="E353" s="14">
        <v>15944.77</v>
      </c>
      <c r="F353" s="14">
        <f t="shared" si="21"/>
        <v>12.265207692307694</v>
      </c>
    </row>
    <row r="354" spans="1:6" ht="18" customHeight="1">
      <c r="A354" s="229" t="s">
        <v>1228</v>
      </c>
      <c r="B354" s="230"/>
      <c r="C354" s="4">
        <v>0</v>
      </c>
      <c r="D354" s="4">
        <v>0</v>
      </c>
      <c r="E354" s="14">
        <v>0</v>
      </c>
      <c r="F354" s="14" t="e">
        <f t="shared" si="21"/>
        <v>#DIV/0!</v>
      </c>
    </row>
    <row r="355" spans="1:6" ht="18" customHeight="1">
      <c r="A355" s="229" t="s">
        <v>1229</v>
      </c>
      <c r="B355" s="230"/>
      <c r="C355" s="4">
        <v>0</v>
      </c>
      <c r="D355" s="4">
        <v>0</v>
      </c>
      <c r="E355" s="14">
        <v>0</v>
      </c>
      <c r="F355" s="14" t="e">
        <f t="shared" si="21"/>
        <v>#DIV/0!</v>
      </c>
    </row>
    <row r="356" spans="1:6" ht="18" customHeight="1">
      <c r="A356" s="229" t="s">
        <v>1234</v>
      </c>
      <c r="B356" s="230"/>
      <c r="C356" s="4">
        <v>0</v>
      </c>
      <c r="D356" s="4">
        <v>0</v>
      </c>
      <c r="E356" s="14">
        <v>0</v>
      </c>
      <c r="F356" s="14" t="e">
        <f t="shared" si="21"/>
        <v>#DIV/0!</v>
      </c>
    </row>
    <row r="357" spans="1:6" ht="21" customHeight="1">
      <c r="A357" s="39">
        <v>32</v>
      </c>
      <c r="B357" s="3" t="s">
        <v>271</v>
      </c>
      <c r="C357" s="4">
        <v>130000</v>
      </c>
      <c r="D357" s="4">
        <v>130000</v>
      </c>
      <c r="E357" s="14">
        <f>E358+E360</f>
        <v>15944.77</v>
      </c>
      <c r="F357" s="14">
        <f t="shared" si="21"/>
        <v>12.265207692307694</v>
      </c>
    </row>
    <row r="358" spans="1:6" ht="18" customHeight="1">
      <c r="A358" s="39">
        <v>322</v>
      </c>
      <c r="B358" s="3" t="s">
        <v>70</v>
      </c>
      <c r="C358" s="4">
        <v>0</v>
      </c>
      <c r="D358" s="4">
        <v>0</v>
      </c>
      <c r="E358" s="14">
        <f>E359</f>
        <v>15230.26</v>
      </c>
      <c r="F358" s="14" t="e">
        <f t="shared" si="21"/>
        <v>#DIV/0!</v>
      </c>
    </row>
    <row r="359" spans="1:6" ht="15" customHeight="1">
      <c r="A359" s="39">
        <v>3224</v>
      </c>
      <c r="B359" s="3" t="s">
        <v>80</v>
      </c>
      <c r="C359" s="4"/>
      <c r="D359" s="4"/>
      <c r="E359" s="14">
        <v>15230.26</v>
      </c>
      <c r="F359" s="14" t="e">
        <f t="shared" si="21"/>
        <v>#DIV/0!</v>
      </c>
    </row>
    <row r="360" spans="1:6" ht="18" customHeight="1">
      <c r="A360" s="39">
        <v>323</v>
      </c>
      <c r="B360" s="3" t="s">
        <v>72</v>
      </c>
      <c r="C360" s="4">
        <v>0</v>
      </c>
      <c r="D360" s="4">
        <v>0</v>
      </c>
      <c r="E360" s="14">
        <f>SUM(E361:E361)</f>
        <v>714.51</v>
      </c>
      <c r="F360" s="14" t="e">
        <f t="shared" si="21"/>
        <v>#DIV/0!</v>
      </c>
    </row>
    <row r="361" spans="1:6" ht="15" customHeight="1">
      <c r="A361" s="39">
        <v>3232</v>
      </c>
      <c r="B361" s="3" t="s">
        <v>604</v>
      </c>
      <c r="C361" s="4"/>
      <c r="D361" s="4"/>
      <c r="E361" s="14">
        <v>714.51</v>
      </c>
      <c r="F361" s="14" t="e">
        <f t="shared" si="21"/>
        <v>#DIV/0!</v>
      </c>
    </row>
    <row r="362" spans="1:6" ht="25.5" customHeight="1">
      <c r="A362" s="237" t="s">
        <v>1365</v>
      </c>
      <c r="B362" s="238"/>
      <c r="C362" s="5">
        <f>C370</f>
        <v>200000</v>
      </c>
      <c r="D362" s="5">
        <f>D370</f>
        <v>200000</v>
      </c>
      <c r="E362" s="132">
        <f>E370</f>
        <v>0</v>
      </c>
      <c r="F362" s="14">
        <f t="shared" si="21"/>
        <v>0</v>
      </c>
    </row>
    <row r="363" spans="1:6" ht="25.5" customHeight="1">
      <c r="A363" s="233" t="s">
        <v>1049</v>
      </c>
      <c r="B363" s="234"/>
      <c r="C363" s="62">
        <f>SUM(C364:C369)</f>
        <v>200000</v>
      </c>
      <c r="D363" s="62">
        <f>SUM(D364:D369)</f>
        <v>200000</v>
      </c>
      <c r="E363" s="130">
        <f>SUM(E364:E369)</f>
        <v>0</v>
      </c>
      <c r="F363" s="14">
        <f t="shared" si="21"/>
        <v>0</v>
      </c>
    </row>
    <row r="364" spans="1:6" ht="18" customHeight="1">
      <c r="A364" s="229" t="s">
        <v>1025</v>
      </c>
      <c r="B364" s="230"/>
      <c r="C364" s="4">
        <v>0</v>
      </c>
      <c r="D364" s="4">
        <v>0</v>
      </c>
      <c r="E364" s="14">
        <v>0</v>
      </c>
      <c r="F364" s="14" t="e">
        <f t="shared" si="21"/>
        <v>#DIV/0!</v>
      </c>
    </row>
    <row r="365" spans="1:6" ht="18" customHeight="1">
      <c r="A365" s="229" t="s">
        <v>1227</v>
      </c>
      <c r="B365" s="230"/>
      <c r="C365" s="4">
        <v>0</v>
      </c>
      <c r="D365" s="4">
        <v>0</v>
      </c>
      <c r="E365" s="14">
        <v>0</v>
      </c>
      <c r="F365" s="14" t="e">
        <f t="shared" si="21"/>
        <v>#DIV/0!</v>
      </c>
    </row>
    <row r="366" spans="1:6" ht="18" customHeight="1">
      <c r="A366" s="229" t="s">
        <v>1231</v>
      </c>
      <c r="B366" s="230"/>
      <c r="C366" s="4">
        <v>0</v>
      </c>
      <c r="D366" s="4">
        <v>0</v>
      </c>
      <c r="E366" s="14">
        <v>0</v>
      </c>
      <c r="F366" s="14" t="e">
        <f t="shared" si="21"/>
        <v>#DIV/0!</v>
      </c>
    </row>
    <row r="367" spans="1:6" ht="18" customHeight="1">
      <c r="A367" s="229" t="s">
        <v>1228</v>
      </c>
      <c r="B367" s="230"/>
      <c r="C367" s="4">
        <v>0</v>
      </c>
      <c r="D367" s="4">
        <v>0</v>
      </c>
      <c r="E367" s="14">
        <v>0</v>
      </c>
      <c r="F367" s="14" t="e">
        <f t="shared" si="21"/>
        <v>#DIV/0!</v>
      </c>
    </row>
    <row r="368" spans="1:6" ht="18" customHeight="1">
      <c r="A368" s="229" t="s">
        <v>1229</v>
      </c>
      <c r="B368" s="230"/>
      <c r="C368" s="4">
        <v>0</v>
      </c>
      <c r="D368" s="4">
        <v>0</v>
      </c>
      <c r="E368" s="14">
        <v>0</v>
      </c>
      <c r="F368" s="14" t="e">
        <f t="shared" si="21"/>
        <v>#DIV/0!</v>
      </c>
    </row>
    <row r="369" spans="1:6" ht="18" customHeight="1">
      <c r="A369" s="229" t="s">
        <v>1423</v>
      </c>
      <c r="B369" s="230"/>
      <c r="C369" s="4">
        <v>200000</v>
      </c>
      <c r="D369" s="4">
        <v>200000</v>
      </c>
      <c r="E369" s="14">
        <v>0</v>
      </c>
      <c r="F369" s="14">
        <f t="shared" si="21"/>
        <v>0</v>
      </c>
    </row>
    <row r="370" spans="1:6" ht="21" customHeight="1">
      <c r="A370" s="39">
        <v>41</v>
      </c>
      <c r="B370" s="3" t="s">
        <v>81</v>
      </c>
      <c r="C370" s="4">
        <v>200000</v>
      </c>
      <c r="D370" s="4">
        <v>200000</v>
      </c>
      <c r="E370" s="14">
        <f>E371</f>
        <v>0</v>
      </c>
      <c r="F370" s="14">
        <f t="shared" si="21"/>
        <v>0</v>
      </c>
    </row>
    <row r="371" spans="1:6" ht="18" customHeight="1">
      <c r="A371" s="39">
        <v>411</v>
      </c>
      <c r="B371" s="3" t="s">
        <v>82</v>
      </c>
      <c r="C371" s="4">
        <v>0</v>
      </c>
      <c r="D371" s="4">
        <v>0</v>
      </c>
      <c r="E371" s="14">
        <f>E372</f>
        <v>0</v>
      </c>
      <c r="F371" s="14" t="e">
        <f t="shared" si="21"/>
        <v>#DIV/0!</v>
      </c>
    </row>
    <row r="372" spans="1:6" ht="15" customHeight="1">
      <c r="A372" s="39">
        <v>4111</v>
      </c>
      <c r="B372" s="3" t="s">
        <v>336</v>
      </c>
      <c r="C372" s="4">
        <v>0</v>
      </c>
      <c r="D372" s="4">
        <v>0</v>
      </c>
      <c r="E372" s="14">
        <v>0</v>
      </c>
      <c r="F372" s="14" t="e">
        <f t="shared" si="21"/>
        <v>#DIV/0!</v>
      </c>
    </row>
    <row r="373" spans="1:6" ht="25.5" customHeight="1">
      <c r="A373" s="237" t="s">
        <v>1251</v>
      </c>
      <c r="B373" s="238"/>
      <c r="C373" s="5">
        <f>C382</f>
        <v>320000</v>
      </c>
      <c r="D373" s="5">
        <f>D382</f>
        <v>320000</v>
      </c>
      <c r="E373" s="132">
        <f>E382</f>
        <v>62062.05</v>
      </c>
      <c r="F373" s="14">
        <f t="shared" si="21"/>
        <v>19.394390625000003</v>
      </c>
    </row>
    <row r="374" spans="1:6" ht="25.5" customHeight="1">
      <c r="A374" s="233" t="s">
        <v>1050</v>
      </c>
      <c r="B374" s="234"/>
      <c r="C374" s="62">
        <f>SUM(C375:C381)</f>
        <v>320000</v>
      </c>
      <c r="D374" s="62">
        <f>SUM(D375:D381)</f>
        <v>320000</v>
      </c>
      <c r="E374" s="130">
        <f>SUM(E375:E381)</f>
        <v>62062.05</v>
      </c>
      <c r="F374" s="14">
        <f aca="true" t="shared" si="23" ref="F374:F380">E374/D374*100</f>
        <v>19.394390625000003</v>
      </c>
    </row>
    <row r="375" spans="1:6" ht="18" customHeight="1">
      <c r="A375" s="229" t="s">
        <v>1025</v>
      </c>
      <c r="B375" s="230"/>
      <c r="C375" s="4">
        <v>29400</v>
      </c>
      <c r="D375" s="4">
        <v>29400</v>
      </c>
      <c r="E375" s="14">
        <v>30714.13</v>
      </c>
      <c r="F375" s="14">
        <f t="shared" si="23"/>
        <v>104.4698299319728</v>
      </c>
    </row>
    <row r="376" spans="1:6" ht="18" customHeight="1">
      <c r="A376" s="229" t="s">
        <v>1227</v>
      </c>
      <c r="B376" s="230"/>
      <c r="C376" s="4">
        <v>0</v>
      </c>
      <c r="D376" s="4">
        <v>0</v>
      </c>
      <c r="E376" s="14">
        <v>0</v>
      </c>
      <c r="F376" s="14" t="e">
        <f t="shared" si="23"/>
        <v>#DIV/0!</v>
      </c>
    </row>
    <row r="377" spans="1:6" ht="18" customHeight="1">
      <c r="A377" s="229" t="s">
        <v>1231</v>
      </c>
      <c r="B377" s="230"/>
      <c r="C377" s="4">
        <v>100000</v>
      </c>
      <c r="D377" s="4">
        <v>100000</v>
      </c>
      <c r="E377" s="14">
        <v>30449.87</v>
      </c>
      <c r="F377" s="14">
        <f t="shared" si="23"/>
        <v>30.44987</v>
      </c>
    </row>
    <row r="378" spans="1:6" ht="18" customHeight="1">
      <c r="A378" s="229" t="s">
        <v>1228</v>
      </c>
      <c r="B378" s="230"/>
      <c r="C378" s="4">
        <v>0</v>
      </c>
      <c r="D378" s="4">
        <v>0</v>
      </c>
      <c r="E378" s="14">
        <v>0</v>
      </c>
      <c r="F378" s="14" t="e">
        <f t="shared" si="23"/>
        <v>#DIV/0!</v>
      </c>
    </row>
    <row r="379" spans="1:6" ht="18" customHeight="1">
      <c r="A379" s="229" t="s">
        <v>1229</v>
      </c>
      <c r="B379" s="230"/>
      <c r="C379" s="4">
        <v>0</v>
      </c>
      <c r="D379" s="4">
        <v>0</v>
      </c>
      <c r="E379" s="14">
        <v>0</v>
      </c>
      <c r="F379" s="14" t="e">
        <f t="shared" si="23"/>
        <v>#DIV/0!</v>
      </c>
    </row>
    <row r="380" spans="1:6" ht="18" customHeight="1">
      <c r="A380" s="229" t="s">
        <v>1234</v>
      </c>
      <c r="B380" s="230"/>
      <c r="C380" s="4">
        <v>600</v>
      </c>
      <c r="D380" s="4">
        <v>600</v>
      </c>
      <c r="E380" s="14">
        <v>898.05</v>
      </c>
      <c r="F380" s="14">
        <f t="shared" si="23"/>
        <v>149.675</v>
      </c>
    </row>
    <row r="381" spans="1:6" ht="18" customHeight="1">
      <c r="A381" s="229" t="s">
        <v>1419</v>
      </c>
      <c r="B381" s="230"/>
      <c r="C381" s="4">
        <v>190000</v>
      </c>
      <c r="D381" s="4">
        <v>190000</v>
      </c>
      <c r="E381" s="14">
        <v>0</v>
      </c>
      <c r="F381" s="14">
        <f aca="true" t="shared" si="24" ref="F381:F386">E381/D381*100</f>
        <v>0</v>
      </c>
    </row>
    <row r="382" spans="1:6" ht="21" customHeight="1">
      <c r="A382" s="39">
        <v>42</v>
      </c>
      <c r="B382" s="3" t="s">
        <v>83</v>
      </c>
      <c r="C382" s="4">
        <v>320000</v>
      </c>
      <c r="D382" s="4">
        <v>320000</v>
      </c>
      <c r="E382" s="14">
        <f>E383</f>
        <v>62062.05</v>
      </c>
      <c r="F382" s="14">
        <f t="shared" si="24"/>
        <v>19.394390625000003</v>
      </c>
    </row>
    <row r="383" spans="1:6" ht="18" customHeight="1">
      <c r="A383" s="39">
        <v>421</v>
      </c>
      <c r="B383" s="3" t="s">
        <v>84</v>
      </c>
      <c r="C383" s="4">
        <v>0</v>
      </c>
      <c r="D383" s="4">
        <v>0</v>
      </c>
      <c r="E383" s="14">
        <f>E384</f>
        <v>62062.05</v>
      </c>
      <c r="F383" s="14" t="e">
        <f t="shared" si="24"/>
        <v>#DIV/0!</v>
      </c>
    </row>
    <row r="384" spans="1:6" ht="15" customHeight="1">
      <c r="A384" s="39">
        <v>4213</v>
      </c>
      <c r="B384" s="3" t="s">
        <v>605</v>
      </c>
      <c r="C384" s="4"/>
      <c r="D384" s="4"/>
      <c r="E384" s="14">
        <v>62062.05</v>
      </c>
      <c r="F384" s="14" t="e">
        <f t="shared" si="24"/>
        <v>#DIV/0!</v>
      </c>
    </row>
    <row r="385" spans="1:6" ht="30" customHeight="1">
      <c r="A385" s="235" t="s">
        <v>687</v>
      </c>
      <c r="B385" s="236"/>
      <c r="C385" s="61">
        <f>C386+C397+C408+C419+C430+C441+C452+C469</f>
        <v>600100</v>
      </c>
      <c r="D385" s="61">
        <f>D386+D397+D408+D419+D430+D441+D452+D469</f>
        <v>600100</v>
      </c>
      <c r="E385" s="129">
        <f>E386+E397+E408+E419+E430+E441+E452+E469</f>
        <v>79197.53</v>
      </c>
      <c r="F385" s="14">
        <f t="shared" si="24"/>
        <v>13.197388768538577</v>
      </c>
    </row>
    <row r="386" spans="1:6" ht="25.5" customHeight="1">
      <c r="A386" s="237" t="s">
        <v>688</v>
      </c>
      <c r="B386" s="238"/>
      <c r="C386" s="5">
        <f>C394</f>
        <v>5000</v>
      </c>
      <c r="D386" s="5">
        <f>D394</f>
        <v>5000</v>
      </c>
      <c r="E386" s="132">
        <f>E394</f>
        <v>0</v>
      </c>
      <c r="F386" s="14">
        <f t="shared" si="24"/>
        <v>0</v>
      </c>
    </row>
    <row r="387" spans="1:6" ht="25.5" customHeight="1">
      <c r="A387" s="233" t="s">
        <v>1051</v>
      </c>
      <c r="B387" s="234"/>
      <c r="C387" s="62">
        <f>SUM(C388:C393)</f>
        <v>5000</v>
      </c>
      <c r="D387" s="62">
        <f>SUM(D388:D393)</f>
        <v>5000</v>
      </c>
      <c r="E387" s="130">
        <f>SUM(E388:E393)</f>
        <v>0</v>
      </c>
      <c r="F387" s="14">
        <f aca="true" t="shared" si="25" ref="F387:F393">E387/D387*100</f>
        <v>0</v>
      </c>
    </row>
    <row r="388" spans="1:6" ht="18" customHeight="1">
      <c r="A388" s="229" t="s">
        <v>1025</v>
      </c>
      <c r="B388" s="230"/>
      <c r="C388" s="4">
        <v>4000</v>
      </c>
      <c r="D388" s="4">
        <v>4000</v>
      </c>
      <c r="E388" s="14">
        <v>0</v>
      </c>
      <c r="F388" s="14">
        <f t="shared" si="25"/>
        <v>0</v>
      </c>
    </row>
    <row r="389" spans="1:6" ht="18" customHeight="1">
      <c r="A389" s="229" t="s">
        <v>1227</v>
      </c>
      <c r="B389" s="230"/>
      <c r="C389" s="4">
        <v>0</v>
      </c>
      <c r="D389" s="4">
        <v>0</v>
      </c>
      <c r="E389" s="14">
        <v>0</v>
      </c>
      <c r="F389" s="14" t="e">
        <f t="shared" si="25"/>
        <v>#DIV/0!</v>
      </c>
    </row>
    <row r="390" spans="1:6" ht="18" customHeight="1">
      <c r="A390" s="229" t="s">
        <v>1231</v>
      </c>
      <c r="B390" s="230"/>
      <c r="C390" s="4">
        <v>1000</v>
      </c>
      <c r="D390" s="4">
        <v>1000</v>
      </c>
      <c r="E390" s="14">
        <v>0</v>
      </c>
      <c r="F390" s="14">
        <f t="shared" si="25"/>
        <v>0</v>
      </c>
    </row>
    <row r="391" spans="1:6" ht="18" customHeight="1">
      <c r="A391" s="229" t="s">
        <v>1228</v>
      </c>
      <c r="B391" s="230"/>
      <c r="C391" s="4">
        <v>0</v>
      </c>
      <c r="D391" s="4">
        <v>0</v>
      </c>
      <c r="E391" s="14">
        <v>0</v>
      </c>
      <c r="F391" s="14" t="e">
        <f t="shared" si="25"/>
        <v>#DIV/0!</v>
      </c>
    </row>
    <row r="392" spans="1:6" ht="18" customHeight="1">
      <c r="A392" s="229" t="s">
        <v>1229</v>
      </c>
      <c r="B392" s="230"/>
      <c r="C392" s="4">
        <v>0</v>
      </c>
      <c r="D392" s="4">
        <v>0</v>
      </c>
      <c r="E392" s="14">
        <v>0</v>
      </c>
      <c r="F392" s="14" t="e">
        <f t="shared" si="25"/>
        <v>#DIV/0!</v>
      </c>
    </row>
    <row r="393" spans="1:6" ht="18" customHeight="1">
      <c r="A393" s="229" t="s">
        <v>1419</v>
      </c>
      <c r="B393" s="230"/>
      <c r="C393" s="4">
        <v>0</v>
      </c>
      <c r="D393" s="4">
        <v>0</v>
      </c>
      <c r="E393" s="14">
        <v>0</v>
      </c>
      <c r="F393" s="14" t="e">
        <f t="shared" si="25"/>
        <v>#DIV/0!</v>
      </c>
    </row>
    <row r="394" spans="1:6" ht="21" customHeight="1">
      <c r="A394" s="39">
        <v>32</v>
      </c>
      <c r="B394" s="3" t="s">
        <v>271</v>
      </c>
      <c r="C394" s="4">
        <v>5000</v>
      </c>
      <c r="D394" s="4">
        <v>5000</v>
      </c>
      <c r="E394" s="14">
        <f>E395</f>
        <v>0</v>
      </c>
      <c r="F394" s="14">
        <f>E394/D394*100</f>
        <v>0</v>
      </c>
    </row>
    <row r="395" spans="1:6" ht="18" customHeight="1">
      <c r="A395" s="39">
        <v>323</v>
      </c>
      <c r="B395" s="3" t="s">
        <v>72</v>
      </c>
      <c r="C395" s="4">
        <v>0</v>
      </c>
      <c r="D395" s="4">
        <v>0</v>
      </c>
      <c r="E395" s="14">
        <f>E396</f>
        <v>0</v>
      </c>
      <c r="F395" s="14" t="e">
        <f>E395/D395*100</f>
        <v>#DIV/0!</v>
      </c>
    </row>
    <row r="396" spans="1:6" ht="15" customHeight="1">
      <c r="A396" s="39">
        <v>3232</v>
      </c>
      <c r="B396" s="3" t="s">
        <v>213</v>
      </c>
      <c r="C396" s="4"/>
      <c r="D396" s="4"/>
      <c r="E396" s="14">
        <v>0</v>
      </c>
      <c r="F396" s="14" t="e">
        <f>E396/D396*100</f>
        <v>#DIV/0!</v>
      </c>
    </row>
    <row r="397" spans="1:6" ht="25.5" customHeight="1">
      <c r="A397" s="250" t="s">
        <v>1366</v>
      </c>
      <c r="B397" s="251"/>
      <c r="C397" s="5">
        <f>C405</f>
        <v>5000</v>
      </c>
      <c r="D397" s="5">
        <f>D405</f>
        <v>5000</v>
      </c>
      <c r="E397" s="132">
        <f>E405</f>
        <v>0</v>
      </c>
      <c r="F397" s="14">
        <f>E397/D397*100</f>
        <v>0</v>
      </c>
    </row>
    <row r="398" spans="1:6" ht="25.5" customHeight="1">
      <c r="A398" s="233" t="s">
        <v>1052</v>
      </c>
      <c r="B398" s="234"/>
      <c r="C398" s="62">
        <f>SUM(C399:C404)</f>
        <v>5000</v>
      </c>
      <c r="D398" s="62">
        <f>SUM(D399:D404)</f>
        <v>5000</v>
      </c>
      <c r="E398" s="130">
        <f>SUM(E399:E404)</f>
        <v>0</v>
      </c>
      <c r="F398" s="14">
        <f aca="true" t="shared" si="26" ref="F398:F404">E398/D398*100</f>
        <v>0</v>
      </c>
    </row>
    <row r="399" spans="1:6" ht="18" customHeight="1">
      <c r="A399" s="229" t="s">
        <v>1025</v>
      </c>
      <c r="B399" s="230"/>
      <c r="C399" s="4">
        <v>5000</v>
      </c>
      <c r="D399" s="4">
        <v>5000</v>
      </c>
      <c r="E399" s="14">
        <v>0</v>
      </c>
      <c r="F399" s="14">
        <f t="shared" si="26"/>
        <v>0</v>
      </c>
    </row>
    <row r="400" spans="1:6" ht="18" customHeight="1">
      <c r="A400" s="229" t="s">
        <v>1227</v>
      </c>
      <c r="B400" s="230"/>
      <c r="C400" s="4">
        <v>0</v>
      </c>
      <c r="D400" s="4">
        <v>0</v>
      </c>
      <c r="E400" s="14">
        <v>0</v>
      </c>
      <c r="F400" s="14" t="e">
        <f t="shared" si="26"/>
        <v>#DIV/0!</v>
      </c>
    </row>
    <row r="401" spans="1:6" ht="18" customHeight="1">
      <c r="A401" s="229" t="s">
        <v>1231</v>
      </c>
      <c r="B401" s="230"/>
      <c r="C401" s="4">
        <v>0</v>
      </c>
      <c r="D401" s="4">
        <v>0</v>
      </c>
      <c r="E401" s="14">
        <v>0</v>
      </c>
      <c r="F401" s="14" t="e">
        <f t="shared" si="26"/>
        <v>#DIV/0!</v>
      </c>
    </row>
    <row r="402" spans="1:6" ht="18" customHeight="1">
      <c r="A402" s="229" t="s">
        <v>1228</v>
      </c>
      <c r="B402" s="230"/>
      <c r="C402" s="4">
        <v>0</v>
      </c>
      <c r="D402" s="4">
        <v>0</v>
      </c>
      <c r="E402" s="14">
        <v>0</v>
      </c>
      <c r="F402" s="14" t="e">
        <f t="shared" si="26"/>
        <v>#DIV/0!</v>
      </c>
    </row>
    <row r="403" spans="1:6" ht="18" customHeight="1">
      <c r="A403" s="229" t="s">
        <v>1229</v>
      </c>
      <c r="B403" s="230"/>
      <c r="C403" s="4">
        <v>0</v>
      </c>
      <c r="D403" s="4">
        <v>0</v>
      </c>
      <c r="E403" s="14">
        <v>0</v>
      </c>
      <c r="F403" s="14" t="e">
        <f t="shared" si="26"/>
        <v>#DIV/0!</v>
      </c>
    </row>
    <row r="404" spans="1:6" ht="18" customHeight="1">
      <c r="A404" s="229" t="s">
        <v>1234</v>
      </c>
      <c r="B404" s="230"/>
      <c r="C404" s="4">
        <v>0</v>
      </c>
      <c r="D404" s="4">
        <v>0</v>
      </c>
      <c r="E404" s="14">
        <v>0</v>
      </c>
      <c r="F404" s="14" t="e">
        <f t="shared" si="26"/>
        <v>#DIV/0!</v>
      </c>
    </row>
    <row r="405" spans="1:6" ht="21" customHeight="1">
      <c r="A405" s="39">
        <v>38</v>
      </c>
      <c r="B405" s="3" t="s">
        <v>6</v>
      </c>
      <c r="C405" s="4">
        <v>5000</v>
      </c>
      <c r="D405" s="4">
        <v>5000</v>
      </c>
      <c r="E405" s="14">
        <f>E406</f>
        <v>0</v>
      </c>
      <c r="F405" s="14">
        <f>E405/D405*100</f>
        <v>0</v>
      </c>
    </row>
    <row r="406" spans="1:6" ht="18" customHeight="1">
      <c r="A406" s="39">
        <v>386</v>
      </c>
      <c r="B406" s="3" t="s">
        <v>85</v>
      </c>
      <c r="C406" s="4">
        <v>0</v>
      </c>
      <c r="D406" s="4">
        <v>0</v>
      </c>
      <c r="E406" s="14">
        <f>E407</f>
        <v>0</v>
      </c>
      <c r="F406" s="14" t="e">
        <f>E406/D406*100</f>
        <v>#DIV/0!</v>
      </c>
    </row>
    <row r="407" spans="1:6" ht="15" customHeight="1">
      <c r="A407" s="39">
        <v>3861</v>
      </c>
      <c r="B407" s="3" t="s">
        <v>606</v>
      </c>
      <c r="C407" s="4">
        <v>0</v>
      </c>
      <c r="D407" s="4">
        <v>0</v>
      </c>
      <c r="E407" s="14">
        <v>0</v>
      </c>
      <c r="F407" s="14" t="e">
        <f>E407/D407*100</f>
        <v>#DIV/0!</v>
      </c>
    </row>
    <row r="408" spans="1:6" ht="25.5" customHeight="1">
      <c r="A408" s="245" t="s">
        <v>1367</v>
      </c>
      <c r="B408" s="238"/>
      <c r="C408" s="5">
        <f>C416</f>
        <v>1000</v>
      </c>
      <c r="D408" s="5">
        <f>D416</f>
        <v>1000</v>
      </c>
      <c r="E408" s="132">
        <f>E416</f>
        <v>540</v>
      </c>
      <c r="F408" s="14">
        <f>E408/D408*100</f>
        <v>54</v>
      </c>
    </row>
    <row r="409" spans="1:6" ht="25.5" customHeight="1">
      <c r="A409" s="233" t="s">
        <v>1053</v>
      </c>
      <c r="B409" s="234"/>
      <c r="C409" s="62">
        <f>SUM(C410:C415)</f>
        <v>1000</v>
      </c>
      <c r="D409" s="62">
        <f>SUM(D410:D415)</f>
        <v>1000</v>
      </c>
      <c r="E409" s="130">
        <f>SUM(E410:E415)</f>
        <v>540</v>
      </c>
      <c r="F409" s="14">
        <f aca="true" t="shared" si="27" ref="F409:F415">E409/D409*100</f>
        <v>54</v>
      </c>
    </row>
    <row r="410" spans="1:6" ht="18" customHeight="1">
      <c r="A410" s="229" t="s">
        <v>1025</v>
      </c>
      <c r="B410" s="230"/>
      <c r="C410" s="4">
        <v>1000</v>
      </c>
      <c r="D410" s="4">
        <v>1000</v>
      </c>
      <c r="E410" s="14">
        <v>540</v>
      </c>
      <c r="F410" s="14">
        <f t="shared" si="27"/>
        <v>54</v>
      </c>
    </row>
    <row r="411" spans="1:6" ht="18" customHeight="1">
      <c r="A411" s="229" t="s">
        <v>1227</v>
      </c>
      <c r="B411" s="230"/>
      <c r="C411" s="4">
        <v>0</v>
      </c>
      <c r="D411" s="4">
        <v>0</v>
      </c>
      <c r="E411" s="14">
        <v>0</v>
      </c>
      <c r="F411" s="14" t="e">
        <f t="shared" si="27"/>
        <v>#DIV/0!</v>
      </c>
    </row>
    <row r="412" spans="1:6" ht="18" customHeight="1">
      <c r="A412" s="229" t="s">
        <v>1231</v>
      </c>
      <c r="B412" s="230"/>
      <c r="C412" s="4">
        <v>0</v>
      </c>
      <c r="D412" s="4">
        <v>0</v>
      </c>
      <c r="E412" s="14">
        <v>0</v>
      </c>
      <c r="F412" s="14" t="e">
        <f t="shared" si="27"/>
        <v>#DIV/0!</v>
      </c>
    </row>
    <row r="413" spans="1:6" ht="18" customHeight="1">
      <c r="A413" s="229" t="s">
        <v>1228</v>
      </c>
      <c r="B413" s="230"/>
      <c r="C413" s="4">
        <v>0</v>
      </c>
      <c r="D413" s="4">
        <v>0</v>
      </c>
      <c r="E413" s="14">
        <v>0</v>
      </c>
      <c r="F413" s="14" t="e">
        <f t="shared" si="27"/>
        <v>#DIV/0!</v>
      </c>
    </row>
    <row r="414" spans="1:6" ht="18" customHeight="1">
      <c r="A414" s="229" t="s">
        <v>1229</v>
      </c>
      <c r="B414" s="230"/>
      <c r="C414" s="4">
        <v>0</v>
      </c>
      <c r="D414" s="4">
        <v>0</v>
      </c>
      <c r="E414" s="14">
        <v>0</v>
      </c>
      <c r="F414" s="14" t="e">
        <f t="shared" si="27"/>
        <v>#DIV/0!</v>
      </c>
    </row>
    <row r="415" spans="1:6" ht="18" customHeight="1">
      <c r="A415" s="229" t="s">
        <v>1234</v>
      </c>
      <c r="B415" s="230"/>
      <c r="C415" s="4">
        <v>0</v>
      </c>
      <c r="D415" s="4">
        <v>0</v>
      </c>
      <c r="E415" s="14">
        <v>0</v>
      </c>
      <c r="F415" s="14" t="e">
        <f t="shared" si="27"/>
        <v>#DIV/0!</v>
      </c>
    </row>
    <row r="416" spans="1:6" ht="21" customHeight="1">
      <c r="A416" s="39">
        <v>41</v>
      </c>
      <c r="B416" s="3" t="s">
        <v>81</v>
      </c>
      <c r="C416" s="4">
        <v>1000</v>
      </c>
      <c r="D416" s="4">
        <v>1000</v>
      </c>
      <c r="E416" s="14">
        <f>E417</f>
        <v>540</v>
      </c>
      <c r="F416" s="14">
        <f aca="true" t="shared" si="28" ref="F416:F439">E416/D416*100</f>
        <v>54</v>
      </c>
    </row>
    <row r="417" spans="1:6" ht="18" customHeight="1">
      <c r="A417" s="39">
        <v>411</v>
      </c>
      <c r="B417" s="3" t="s">
        <v>82</v>
      </c>
      <c r="C417" s="4">
        <v>0</v>
      </c>
      <c r="D417" s="4">
        <v>0</v>
      </c>
      <c r="E417" s="14">
        <f>E418</f>
        <v>540</v>
      </c>
      <c r="F417" s="14" t="e">
        <f t="shared" si="28"/>
        <v>#DIV/0!</v>
      </c>
    </row>
    <row r="418" spans="1:6" ht="15" customHeight="1">
      <c r="A418" s="39">
        <v>4111</v>
      </c>
      <c r="B418" s="3" t="s">
        <v>689</v>
      </c>
      <c r="C418" s="4">
        <v>0</v>
      </c>
      <c r="D418" s="4">
        <v>0</v>
      </c>
      <c r="E418" s="14">
        <v>540</v>
      </c>
      <c r="F418" s="14" t="e">
        <f t="shared" si="28"/>
        <v>#DIV/0!</v>
      </c>
    </row>
    <row r="419" spans="1:6" ht="25.5" customHeight="1">
      <c r="A419" s="237" t="s">
        <v>690</v>
      </c>
      <c r="B419" s="238"/>
      <c r="C419" s="5">
        <f>C427</f>
        <v>4000</v>
      </c>
      <c r="D419" s="5">
        <f>D427</f>
        <v>4000</v>
      </c>
      <c r="E419" s="132">
        <f>E427</f>
        <v>0</v>
      </c>
      <c r="F419" s="14">
        <f t="shared" si="28"/>
        <v>0</v>
      </c>
    </row>
    <row r="420" spans="1:6" ht="25.5" customHeight="1">
      <c r="A420" s="233" t="s">
        <v>1054</v>
      </c>
      <c r="B420" s="234"/>
      <c r="C420" s="62">
        <f>SUM(C421:C426)</f>
        <v>4000</v>
      </c>
      <c r="D420" s="62">
        <f>SUM(D421:D426)</f>
        <v>4000</v>
      </c>
      <c r="E420" s="130">
        <f>SUM(E421:E426)</f>
        <v>0</v>
      </c>
      <c r="F420" s="14">
        <f t="shared" si="28"/>
        <v>0</v>
      </c>
    </row>
    <row r="421" spans="1:6" ht="18" customHeight="1">
      <c r="A421" s="229" t="s">
        <v>1025</v>
      </c>
      <c r="B421" s="230"/>
      <c r="C421" s="4">
        <v>4000</v>
      </c>
      <c r="D421" s="4">
        <v>4000</v>
      </c>
      <c r="E421" s="14">
        <v>0</v>
      </c>
      <c r="F421" s="14">
        <f t="shared" si="28"/>
        <v>0</v>
      </c>
    </row>
    <row r="422" spans="1:6" ht="18" customHeight="1">
      <c r="A422" s="229" t="s">
        <v>1227</v>
      </c>
      <c r="B422" s="230"/>
      <c r="C422" s="4">
        <v>0</v>
      </c>
      <c r="D422" s="4">
        <v>0</v>
      </c>
      <c r="E422" s="14">
        <v>0</v>
      </c>
      <c r="F422" s="14" t="e">
        <f t="shared" si="28"/>
        <v>#DIV/0!</v>
      </c>
    </row>
    <row r="423" spans="1:6" ht="18" customHeight="1">
      <c r="A423" s="229" t="s">
        <v>1231</v>
      </c>
      <c r="B423" s="230"/>
      <c r="C423" s="4">
        <v>0</v>
      </c>
      <c r="D423" s="4">
        <v>0</v>
      </c>
      <c r="E423" s="14">
        <v>0</v>
      </c>
      <c r="F423" s="14" t="e">
        <f t="shared" si="28"/>
        <v>#DIV/0!</v>
      </c>
    </row>
    <row r="424" spans="1:6" ht="18" customHeight="1">
      <c r="A424" s="229" t="s">
        <v>1228</v>
      </c>
      <c r="B424" s="230"/>
      <c r="C424" s="4">
        <v>0</v>
      </c>
      <c r="D424" s="4">
        <v>0</v>
      </c>
      <c r="E424" s="14">
        <v>0</v>
      </c>
      <c r="F424" s="14" t="e">
        <f t="shared" si="28"/>
        <v>#DIV/0!</v>
      </c>
    </row>
    <row r="425" spans="1:6" ht="18" customHeight="1">
      <c r="A425" s="229" t="s">
        <v>1229</v>
      </c>
      <c r="B425" s="230"/>
      <c r="C425" s="4">
        <v>0</v>
      </c>
      <c r="D425" s="4">
        <v>0</v>
      </c>
      <c r="E425" s="14">
        <v>0</v>
      </c>
      <c r="F425" s="14" t="e">
        <f t="shared" si="28"/>
        <v>#DIV/0!</v>
      </c>
    </row>
    <row r="426" spans="1:6" ht="18" customHeight="1">
      <c r="A426" s="229" t="s">
        <v>1234</v>
      </c>
      <c r="B426" s="230"/>
      <c r="C426" s="4">
        <v>0</v>
      </c>
      <c r="D426" s="4">
        <v>0</v>
      </c>
      <c r="E426" s="14">
        <v>0</v>
      </c>
      <c r="F426" s="14" t="e">
        <f t="shared" si="28"/>
        <v>#DIV/0!</v>
      </c>
    </row>
    <row r="427" spans="1:6" ht="21" customHeight="1">
      <c r="A427" s="39">
        <v>32</v>
      </c>
      <c r="B427" s="3" t="s">
        <v>271</v>
      </c>
      <c r="C427" s="4">
        <v>4000</v>
      </c>
      <c r="D427" s="4">
        <v>4000</v>
      </c>
      <c r="E427" s="14">
        <f>E428</f>
        <v>0</v>
      </c>
      <c r="F427" s="14">
        <f t="shared" si="28"/>
        <v>0</v>
      </c>
    </row>
    <row r="428" spans="1:6" ht="18" customHeight="1">
      <c r="A428" s="39">
        <v>323</v>
      </c>
      <c r="B428" s="3" t="s">
        <v>72</v>
      </c>
      <c r="C428" s="4">
        <v>0</v>
      </c>
      <c r="D428" s="4">
        <v>0</v>
      </c>
      <c r="E428" s="14">
        <f>E429</f>
        <v>0</v>
      </c>
      <c r="F428" s="14" t="e">
        <f t="shared" si="28"/>
        <v>#DIV/0!</v>
      </c>
    </row>
    <row r="429" spans="1:6" ht="15" customHeight="1">
      <c r="A429" s="39">
        <v>3232</v>
      </c>
      <c r="B429" s="3" t="s">
        <v>139</v>
      </c>
      <c r="C429" s="4">
        <v>0</v>
      </c>
      <c r="D429" s="4">
        <v>0</v>
      </c>
      <c r="E429" s="14">
        <v>0</v>
      </c>
      <c r="F429" s="14" t="e">
        <f t="shared" si="28"/>
        <v>#DIV/0!</v>
      </c>
    </row>
    <row r="430" spans="1:6" ht="25.5" customHeight="1">
      <c r="A430" s="250" t="s">
        <v>1056</v>
      </c>
      <c r="B430" s="251"/>
      <c r="C430" s="5">
        <f>C438</f>
        <v>0</v>
      </c>
      <c r="D430" s="5">
        <f>D438</f>
        <v>0</v>
      </c>
      <c r="E430" s="132">
        <f>E438</f>
        <v>0</v>
      </c>
      <c r="F430" s="14" t="e">
        <f t="shared" si="28"/>
        <v>#DIV/0!</v>
      </c>
    </row>
    <row r="431" spans="1:6" ht="25.5" customHeight="1">
      <c r="A431" s="233" t="s">
        <v>1055</v>
      </c>
      <c r="B431" s="234"/>
      <c r="C431" s="62">
        <f>SUM(C432:C437)</f>
        <v>0</v>
      </c>
      <c r="D431" s="62">
        <f>SUM(D432:D437)</f>
        <v>0</v>
      </c>
      <c r="E431" s="130">
        <f>SUM(E432:E437)</f>
        <v>0</v>
      </c>
      <c r="F431" s="14" t="e">
        <f t="shared" si="28"/>
        <v>#DIV/0!</v>
      </c>
    </row>
    <row r="432" spans="1:6" ht="18" customHeight="1">
      <c r="A432" s="229" t="s">
        <v>1025</v>
      </c>
      <c r="B432" s="230"/>
      <c r="C432" s="4">
        <v>0</v>
      </c>
      <c r="D432" s="4">
        <v>0</v>
      </c>
      <c r="E432" s="14">
        <v>0</v>
      </c>
      <c r="F432" s="14" t="e">
        <f t="shared" si="28"/>
        <v>#DIV/0!</v>
      </c>
    </row>
    <row r="433" spans="1:6" ht="18" customHeight="1">
      <c r="A433" s="229" t="s">
        <v>1227</v>
      </c>
      <c r="B433" s="230"/>
      <c r="C433" s="4">
        <v>0</v>
      </c>
      <c r="D433" s="4">
        <v>0</v>
      </c>
      <c r="E433" s="14">
        <v>0</v>
      </c>
      <c r="F433" s="14" t="e">
        <f t="shared" si="28"/>
        <v>#DIV/0!</v>
      </c>
    </row>
    <row r="434" spans="1:6" ht="18" customHeight="1">
      <c r="A434" s="229" t="s">
        <v>1231</v>
      </c>
      <c r="B434" s="230"/>
      <c r="C434" s="4">
        <v>0</v>
      </c>
      <c r="D434" s="4">
        <v>0</v>
      </c>
      <c r="E434" s="14">
        <v>0</v>
      </c>
      <c r="F434" s="14" t="e">
        <f t="shared" si="28"/>
        <v>#DIV/0!</v>
      </c>
    </row>
    <row r="435" spans="1:6" ht="18" customHeight="1">
      <c r="A435" s="229" t="s">
        <v>1228</v>
      </c>
      <c r="B435" s="230"/>
      <c r="C435" s="4">
        <v>0</v>
      </c>
      <c r="D435" s="4">
        <v>0</v>
      </c>
      <c r="E435" s="14">
        <v>0</v>
      </c>
      <c r="F435" s="14" t="e">
        <f t="shared" si="28"/>
        <v>#DIV/0!</v>
      </c>
    </row>
    <row r="436" spans="1:6" ht="18" customHeight="1">
      <c r="A436" s="229" t="s">
        <v>1229</v>
      </c>
      <c r="B436" s="230"/>
      <c r="C436" s="4">
        <v>0</v>
      </c>
      <c r="D436" s="4">
        <v>0</v>
      </c>
      <c r="E436" s="14">
        <v>0</v>
      </c>
      <c r="F436" s="14" t="e">
        <f t="shared" si="28"/>
        <v>#DIV/0!</v>
      </c>
    </row>
    <row r="437" spans="1:6" ht="18" customHeight="1">
      <c r="A437" s="229" t="s">
        <v>1234</v>
      </c>
      <c r="B437" s="230"/>
      <c r="C437" s="4">
        <v>0</v>
      </c>
      <c r="D437" s="4">
        <v>0</v>
      </c>
      <c r="E437" s="14">
        <v>0</v>
      </c>
      <c r="F437" s="14" t="e">
        <f t="shared" si="28"/>
        <v>#DIV/0!</v>
      </c>
    </row>
    <row r="438" spans="1:6" ht="21" customHeight="1">
      <c r="A438" s="39">
        <v>38</v>
      </c>
      <c r="B438" s="70" t="s">
        <v>556</v>
      </c>
      <c r="C438" s="4">
        <f aca="true" t="shared" si="29" ref="C438:E439">C439</f>
        <v>0</v>
      </c>
      <c r="D438" s="4">
        <f t="shared" si="29"/>
        <v>0</v>
      </c>
      <c r="E438" s="14">
        <f t="shared" si="29"/>
        <v>0</v>
      </c>
      <c r="F438" s="14" t="e">
        <f t="shared" si="28"/>
        <v>#DIV/0!</v>
      </c>
    </row>
    <row r="439" spans="1:6" ht="18" customHeight="1">
      <c r="A439" s="39">
        <v>386</v>
      </c>
      <c r="B439" s="3" t="s">
        <v>85</v>
      </c>
      <c r="C439" s="4">
        <v>0</v>
      </c>
      <c r="D439" s="4">
        <v>0</v>
      </c>
      <c r="E439" s="14">
        <f t="shared" si="29"/>
        <v>0</v>
      </c>
      <c r="F439" s="14" t="e">
        <f t="shared" si="28"/>
        <v>#DIV/0!</v>
      </c>
    </row>
    <row r="440" spans="1:6" ht="15" customHeight="1">
      <c r="A440" s="39">
        <v>3861</v>
      </c>
      <c r="B440" s="3" t="s">
        <v>691</v>
      </c>
      <c r="C440" s="4">
        <v>0</v>
      </c>
      <c r="D440" s="4">
        <v>0</v>
      </c>
      <c r="E440" s="14">
        <v>0</v>
      </c>
      <c r="F440" s="14" t="e">
        <f aca="true" t="shared" si="30" ref="F440:F468">E440/D440*100</f>
        <v>#DIV/0!</v>
      </c>
    </row>
    <row r="441" spans="1:6" ht="25.5" customHeight="1">
      <c r="A441" s="237" t="s">
        <v>1057</v>
      </c>
      <c r="B441" s="238"/>
      <c r="C441" s="5">
        <f>C449</f>
        <v>155000</v>
      </c>
      <c r="D441" s="5">
        <f>D449</f>
        <v>155000</v>
      </c>
      <c r="E441" s="132">
        <f>E449</f>
        <v>76480.5</v>
      </c>
      <c r="F441" s="14">
        <f t="shared" si="30"/>
        <v>49.34225806451613</v>
      </c>
    </row>
    <row r="442" spans="1:6" ht="25.5" customHeight="1">
      <c r="A442" s="233" t="s">
        <v>1058</v>
      </c>
      <c r="B442" s="234"/>
      <c r="C442" s="62">
        <f>SUM(C443:C448)</f>
        <v>155000</v>
      </c>
      <c r="D442" s="62">
        <f>SUM(D443:D448)</f>
        <v>155000</v>
      </c>
      <c r="E442" s="130">
        <f>SUM(E443:E448)</f>
        <v>76480.5</v>
      </c>
      <c r="F442" s="14">
        <f t="shared" si="30"/>
        <v>49.34225806451613</v>
      </c>
    </row>
    <row r="443" spans="1:6" ht="18" customHeight="1">
      <c r="A443" s="229" t="s">
        <v>1025</v>
      </c>
      <c r="B443" s="230"/>
      <c r="C443" s="4">
        <v>0</v>
      </c>
      <c r="D443" s="4">
        <v>0</v>
      </c>
      <c r="E443" s="14">
        <v>75794.52</v>
      </c>
      <c r="F443" s="14" t="e">
        <f t="shared" si="30"/>
        <v>#DIV/0!</v>
      </c>
    </row>
    <row r="444" spans="1:6" ht="18" customHeight="1">
      <c r="A444" s="229" t="s">
        <v>1227</v>
      </c>
      <c r="B444" s="230"/>
      <c r="C444" s="4">
        <v>0</v>
      </c>
      <c r="D444" s="4">
        <v>0</v>
      </c>
      <c r="E444" s="14">
        <v>0</v>
      </c>
      <c r="F444" s="14" t="e">
        <f t="shared" si="30"/>
        <v>#DIV/0!</v>
      </c>
    </row>
    <row r="445" spans="1:6" ht="18" customHeight="1">
      <c r="A445" s="229" t="s">
        <v>1231</v>
      </c>
      <c r="B445" s="230"/>
      <c r="C445" s="4">
        <v>1500</v>
      </c>
      <c r="D445" s="4">
        <v>1500</v>
      </c>
      <c r="E445" s="14">
        <v>685.98</v>
      </c>
      <c r="F445" s="14">
        <f t="shared" si="30"/>
        <v>45.732</v>
      </c>
    </row>
    <row r="446" spans="1:6" ht="18" customHeight="1">
      <c r="A446" s="229" t="s">
        <v>1228</v>
      </c>
      <c r="B446" s="230"/>
      <c r="C446" s="4">
        <v>0</v>
      </c>
      <c r="D446" s="4">
        <v>0</v>
      </c>
      <c r="E446" s="14">
        <v>0</v>
      </c>
      <c r="F446" s="14" t="e">
        <f t="shared" si="30"/>
        <v>#DIV/0!</v>
      </c>
    </row>
    <row r="447" spans="1:6" ht="18" customHeight="1">
      <c r="A447" s="229" t="s">
        <v>1229</v>
      </c>
      <c r="B447" s="230"/>
      <c r="C447" s="4">
        <v>0</v>
      </c>
      <c r="D447" s="4">
        <v>0</v>
      </c>
      <c r="E447" s="14">
        <v>0</v>
      </c>
      <c r="F447" s="14" t="e">
        <f t="shared" si="30"/>
        <v>#DIV/0!</v>
      </c>
    </row>
    <row r="448" spans="1:6" ht="18" customHeight="1">
      <c r="A448" s="229" t="s">
        <v>1419</v>
      </c>
      <c r="B448" s="230"/>
      <c r="C448" s="4">
        <v>153500</v>
      </c>
      <c r="D448" s="4">
        <v>153500</v>
      </c>
      <c r="E448" s="14">
        <v>0</v>
      </c>
      <c r="F448" s="14">
        <f t="shared" si="30"/>
        <v>0</v>
      </c>
    </row>
    <row r="449" spans="1:6" ht="21" customHeight="1">
      <c r="A449" s="39">
        <v>42</v>
      </c>
      <c r="B449" s="3" t="s">
        <v>83</v>
      </c>
      <c r="C449" s="4">
        <v>155000</v>
      </c>
      <c r="D449" s="4">
        <v>155000</v>
      </c>
      <c r="E449" s="14">
        <f>E450</f>
        <v>76480.5</v>
      </c>
      <c r="F449" s="14">
        <f t="shared" si="30"/>
        <v>49.34225806451613</v>
      </c>
    </row>
    <row r="450" spans="1:6" ht="18" customHeight="1">
      <c r="A450" s="39">
        <v>421</v>
      </c>
      <c r="B450" s="3" t="s">
        <v>84</v>
      </c>
      <c r="C450" s="4">
        <v>0</v>
      </c>
      <c r="D450" s="4">
        <v>0</v>
      </c>
      <c r="E450" s="14">
        <f>E451</f>
        <v>76480.5</v>
      </c>
      <c r="F450" s="14" t="e">
        <f t="shared" si="30"/>
        <v>#DIV/0!</v>
      </c>
    </row>
    <row r="451" spans="1:6" ht="15" customHeight="1">
      <c r="A451" s="39" t="s">
        <v>297</v>
      </c>
      <c r="B451" s="3" t="s">
        <v>1059</v>
      </c>
      <c r="C451" s="4">
        <v>0</v>
      </c>
      <c r="D451" s="4"/>
      <c r="E451" s="14">
        <v>76480.5</v>
      </c>
      <c r="F451" s="14" t="e">
        <f t="shared" si="30"/>
        <v>#DIV/0!</v>
      </c>
    </row>
    <row r="452" spans="1:6" ht="34.5" customHeight="1">
      <c r="A452" s="245" t="s">
        <v>1424</v>
      </c>
      <c r="B452" s="238"/>
      <c r="C452" s="5">
        <f>C460+C465</f>
        <v>21100</v>
      </c>
      <c r="D452" s="5">
        <f>D460+D465</f>
        <v>21100</v>
      </c>
      <c r="E452" s="132">
        <f>E460+E465</f>
        <v>2177.03</v>
      </c>
      <c r="F452" s="14">
        <f t="shared" si="30"/>
        <v>10.317677725118484</v>
      </c>
    </row>
    <row r="453" spans="1:6" ht="25.5" customHeight="1">
      <c r="A453" s="233" t="s">
        <v>1054</v>
      </c>
      <c r="B453" s="234"/>
      <c r="C453" s="62">
        <f>SUM(C454:C459)</f>
        <v>21100</v>
      </c>
      <c r="D453" s="62">
        <f>SUM(D454:D459)</f>
        <v>21100</v>
      </c>
      <c r="E453" s="130">
        <f>SUM(E454:E459)</f>
        <v>2177.03</v>
      </c>
      <c r="F453" s="14">
        <f t="shared" si="30"/>
        <v>10.317677725118484</v>
      </c>
    </row>
    <row r="454" spans="1:6" ht="18" customHeight="1">
      <c r="A454" s="229" t="s">
        <v>1025</v>
      </c>
      <c r="B454" s="230"/>
      <c r="C454" s="4">
        <v>6100</v>
      </c>
      <c r="D454" s="4">
        <v>6100</v>
      </c>
      <c r="E454" s="14">
        <v>2177.03</v>
      </c>
      <c r="F454" s="14">
        <f t="shared" si="30"/>
        <v>35.68901639344262</v>
      </c>
    </row>
    <row r="455" spans="1:6" ht="18" customHeight="1">
      <c r="A455" s="229" t="s">
        <v>1227</v>
      </c>
      <c r="B455" s="230"/>
      <c r="C455" s="4">
        <v>0</v>
      </c>
      <c r="D455" s="4">
        <v>0</v>
      </c>
      <c r="E455" s="14">
        <v>0</v>
      </c>
      <c r="F455" s="14" t="e">
        <f t="shared" si="30"/>
        <v>#DIV/0!</v>
      </c>
    </row>
    <row r="456" spans="1:6" ht="18" customHeight="1">
      <c r="A456" s="229" t="s">
        <v>1231</v>
      </c>
      <c r="B456" s="230"/>
      <c r="C456" s="4">
        <v>0</v>
      </c>
      <c r="D456" s="4">
        <v>0</v>
      </c>
      <c r="E456" s="14">
        <v>0</v>
      </c>
      <c r="F456" s="14" t="e">
        <f t="shared" si="30"/>
        <v>#DIV/0!</v>
      </c>
    </row>
    <row r="457" spans="1:6" ht="18" customHeight="1">
      <c r="A457" s="229" t="s">
        <v>1228</v>
      </c>
      <c r="B457" s="230"/>
      <c r="C457" s="4">
        <v>0</v>
      </c>
      <c r="D457" s="4">
        <v>0</v>
      </c>
      <c r="E457" s="14">
        <v>0</v>
      </c>
      <c r="F457" s="14" t="e">
        <f t="shared" si="30"/>
        <v>#DIV/0!</v>
      </c>
    </row>
    <row r="458" spans="1:6" ht="18" customHeight="1">
      <c r="A458" s="229" t="s">
        <v>1229</v>
      </c>
      <c r="B458" s="230"/>
      <c r="C458" s="4">
        <v>0</v>
      </c>
      <c r="D458" s="4">
        <v>0</v>
      </c>
      <c r="E458" s="14">
        <v>0</v>
      </c>
      <c r="F458" s="14" t="e">
        <f t="shared" si="30"/>
        <v>#DIV/0!</v>
      </c>
    </row>
    <row r="459" spans="1:6" ht="18" customHeight="1">
      <c r="A459" s="229" t="s">
        <v>1419</v>
      </c>
      <c r="B459" s="230"/>
      <c r="C459" s="4">
        <v>15000</v>
      </c>
      <c r="D459" s="4">
        <v>15000</v>
      </c>
      <c r="E459" s="14">
        <v>0</v>
      </c>
      <c r="F459" s="14">
        <f t="shared" si="30"/>
        <v>0</v>
      </c>
    </row>
    <row r="460" spans="1:6" ht="21" customHeight="1">
      <c r="A460" s="39">
        <v>32</v>
      </c>
      <c r="B460" s="3" t="s">
        <v>271</v>
      </c>
      <c r="C460" s="4">
        <v>21100</v>
      </c>
      <c r="D460" s="4">
        <v>21100</v>
      </c>
      <c r="E460" s="14">
        <f>E463+E461</f>
        <v>2177.03</v>
      </c>
      <c r="F460" s="14">
        <f t="shared" si="30"/>
        <v>10.317677725118484</v>
      </c>
    </row>
    <row r="461" spans="1:6" ht="18" customHeight="1">
      <c r="A461" s="39">
        <v>322</v>
      </c>
      <c r="B461" s="3" t="s">
        <v>70</v>
      </c>
      <c r="C461" s="4">
        <v>0</v>
      </c>
      <c r="D461" s="4">
        <v>0</v>
      </c>
      <c r="E461" s="14">
        <f>SUM(E462:E462)</f>
        <v>2177.03</v>
      </c>
      <c r="F461" s="14" t="e">
        <f t="shared" si="30"/>
        <v>#DIV/0!</v>
      </c>
    </row>
    <row r="462" spans="1:6" ht="15" customHeight="1">
      <c r="A462" s="39">
        <v>3221</v>
      </c>
      <c r="B462" s="3" t="s">
        <v>993</v>
      </c>
      <c r="C462" s="4">
        <v>0</v>
      </c>
      <c r="D462" s="4">
        <v>0</v>
      </c>
      <c r="E462" s="14">
        <v>2177.03</v>
      </c>
      <c r="F462" s="14" t="e">
        <f t="shared" si="30"/>
        <v>#DIV/0!</v>
      </c>
    </row>
    <row r="463" spans="1:6" ht="18" customHeight="1">
      <c r="A463" s="39">
        <v>323</v>
      </c>
      <c r="B463" s="3" t="s">
        <v>72</v>
      </c>
      <c r="C463" s="4">
        <v>0</v>
      </c>
      <c r="D463" s="4">
        <v>0</v>
      </c>
      <c r="E463" s="14">
        <f>E464</f>
        <v>0</v>
      </c>
      <c r="F463" s="14" t="e">
        <f t="shared" si="30"/>
        <v>#DIV/0!</v>
      </c>
    </row>
    <row r="464" spans="1:6" ht="15" customHeight="1">
      <c r="A464" s="39" t="s">
        <v>692</v>
      </c>
      <c r="B464" s="3" t="s">
        <v>100</v>
      </c>
      <c r="C464" s="4">
        <v>0</v>
      </c>
      <c r="D464" s="4">
        <v>0</v>
      </c>
      <c r="E464" s="14">
        <v>0</v>
      </c>
      <c r="F464" s="14" t="e">
        <f t="shared" si="30"/>
        <v>#DIV/0!</v>
      </c>
    </row>
    <row r="465" spans="1:6" ht="21" customHeight="1">
      <c r="A465" s="39" t="s">
        <v>615</v>
      </c>
      <c r="B465" s="70" t="s">
        <v>1266</v>
      </c>
      <c r="C465" s="4">
        <f>C466</f>
        <v>0</v>
      </c>
      <c r="D465" s="4">
        <f>D466</f>
        <v>0</v>
      </c>
      <c r="E465" s="14">
        <f>E466</f>
        <v>0</v>
      </c>
      <c r="F465" s="14" t="e">
        <f t="shared" si="30"/>
        <v>#DIV/0!</v>
      </c>
    </row>
    <row r="466" spans="1:6" ht="18" customHeight="1">
      <c r="A466" s="39" t="s">
        <v>633</v>
      </c>
      <c r="B466" s="70" t="s">
        <v>634</v>
      </c>
      <c r="C466" s="4">
        <f>C467+C468</f>
        <v>0</v>
      </c>
      <c r="D466" s="4">
        <v>0</v>
      </c>
      <c r="E466" s="14">
        <f>E468+E467</f>
        <v>0</v>
      </c>
      <c r="F466" s="14" t="e">
        <f t="shared" si="30"/>
        <v>#DIV/0!</v>
      </c>
    </row>
    <row r="467" spans="1:6" ht="15" customHeight="1">
      <c r="A467" s="39" t="s">
        <v>635</v>
      </c>
      <c r="B467" s="70" t="s">
        <v>1340</v>
      </c>
      <c r="C467" s="4">
        <v>0</v>
      </c>
      <c r="D467" s="4">
        <v>0</v>
      </c>
      <c r="E467" s="14">
        <v>0</v>
      </c>
      <c r="F467" s="14" t="e">
        <f>E467/D467*100</f>
        <v>#DIV/0!</v>
      </c>
    </row>
    <row r="468" spans="1:6" ht="15" customHeight="1">
      <c r="A468" s="39" t="s">
        <v>995</v>
      </c>
      <c r="B468" s="70" t="s">
        <v>1341</v>
      </c>
      <c r="C468" s="4">
        <v>0</v>
      </c>
      <c r="D468" s="4">
        <v>0</v>
      </c>
      <c r="E468" s="14">
        <v>0</v>
      </c>
      <c r="F468" s="14" t="e">
        <f t="shared" si="30"/>
        <v>#DIV/0!</v>
      </c>
    </row>
    <row r="469" spans="1:6" ht="25.5" customHeight="1">
      <c r="A469" s="245" t="s">
        <v>1370</v>
      </c>
      <c r="B469" s="238"/>
      <c r="C469" s="5">
        <f>C477</f>
        <v>409000</v>
      </c>
      <c r="D469" s="5">
        <f>D477</f>
        <v>409000</v>
      </c>
      <c r="E469" s="132">
        <f>E477</f>
        <v>0</v>
      </c>
      <c r="F469" s="14">
        <f aca="true" t="shared" si="31" ref="F469:F479">E469/D469*100</f>
        <v>0</v>
      </c>
    </row>
    <row r="470" spans="1:6" ht="25.5" customHeight="1">
      <c r="A470" s="233" t="s">
        <v>1369</v>
      </c>
      <c r="B470" s="234"/>
      <c r="C470" s="62">
        <f>SUM(C471:C476)</f>
        <v>409000</v>
      </c>
      <c r="D470" s="62">
        <f>SUM(D471:D476)</f>
        <v>409000</v>
      </c>
      <c r="E470" s="130">
        <f>SUM(E471:E476)</f>
        <v>0</v>
      </c>
      <c r="F470" s="14">
        <f t="shared" si="31"/>
        <v>0</v>
      </c>
    </row>
    <row r="471" spans="1:6" ht="18" customHeight="1">
      <c r="A471" s="229" t="s">
        <v>1025</v>
      </c>
      <c r="B471" s="230"/>
      <c r="C471" s="4">
        <v>0</v>
      </c>
      <c r="D471" s="4">
        <v>0</v>
      </c>
      <c r="E471" s="14">
        <v>0</v>
      </c>
      <c r="F471" s="14" t="e">
        <f t="shared" si="31"/>
        <v>#DIV/0!</v>
      </c>
    </row>
    <row r="472" spans="1:6" ht="18" customHeight="1">
      <c r="A472" s="229" t="s">
        <v>1227</v>
      </c>
      <c r="B472" s="230"/>
      <c r="C472" s="4">
        <v>0</v>
      </c>
      <c r="D472" s="4">
        <v>0</v>
      </c>
      <c r="E472" s="14">
        <v>0</v>
      </c>
      <c r="F472" s="14" t="e">
        <f t="shared" si="31"/>
        <v>#DIV/0!</v>
      </c>
    </row>
    <row r="473" spans="1:6" ht="18" customHeight="1">
      <c r="A473" s="229" t="s">
        <v>1231</v>
      </c>
      <c r="B473" s="230"/>
      <c r="C473" s="4">
        <v>0</v>
      </c>
      <c r="D473" s="4">
        <v>0</v>
      </c>
      <c r="E473" s="14">
        <v>0</v>
      </c>
      <c r="F473" s="14" t="e">
        <f t="shared" si="31"/>
        <v>#DIV/0!</v>
      </c>
    </row>
    <row r="474" spans="1:6" ht="18" customHeight="1">
      <c r="A474" s="229" t="s">
        <v>1228</v>
      </c>
      <c r="B474" s="230"/>
      <c r="C474" s="4">
        <v>409000</v>
      </c>
      <c r="D474" s="4">
        <v>409000</v>
      </c>
      <c r="E474" s="14">
        <v>0</v>
      </c>
      <c r="F474" s="14">
        <f t="shared" si="31"/>
        <v>0</v>
      </c>
    </row>
    <row r="475" spans="1:6" ht="18" customHeight="1">
      <c r="A475" s="229" t="s">
        <v>1229</v>
      </c>
      <c r="B475" s="230"/>
      <c r="C475" s="4">
        <v>0</v>
      </c>
      <c r="D475" s="4">
        <v>0</v>
      </c>
      <c r="E475" s="14">
        <v>0</v>
      </c>
      <c r="F475" s="14" t="e">
        <f t="shared" si="31"/>
        <v>#DIV/0!</v>
      </c>
    </row>
    <row r="476" spans="1:6" ht="18" customHeight="1">
      <c r="A476" s="229" t="s">
        <v>1368</v>
      </c>
      <c r="B476" s="230"/>
      <c r="C476" s="4">
        <v>0</v>
      </c>
      <c r="D476" s="4">
        <v>0</v>
      </c>
      <c r="E476" s="14">
        <v>0</v>
      </c>
      <c r="F476" s="14" t="e">
        <f t="shared" si="31"/>
        <v>#DIV/0!</v>
      </c>
    </row>
    <row r="477" spans="1:6" ht="21" customHeight="1">
      <c r="A477" s="39">
        <v>42</v>
      </c>
      <c r="B477" s="3" t="s">
        <v>83</v>
      </c>
      <c r="C477" s="4">
        <v>409000</v>
      </c>
      <c r="D477" s="4">
        <v>409000</v>
      </c>
      <c r="E477" s="14">
        <f>E478</f>
        <v>0</v>
      </c>
      <c r="F477" s="14">
        <f t="shared" si="31"/>
        <v>0</v>
      </c>
    </row>
    <row r="478" spans="1:6" ht="18" customHeight="1">
      <c r="A478" s="39">
        <v>421</v>
      </c>
      <c r="B478" s="3" t="s">
        <v>84</v>
      </c>
      <c r="C478" s="4">
        <v>0</v>
      </c>
      <c r="D478" s="4">
        <v>0</v>
      </c>
      <c r="E478" s="14">
        <f>E479</f>
        <v>0</v>
      </c>
      <c r="F478" s="14" t="e">
        <f t="shared" si="31"/>
        <v>#DIV/0!</v>
      </c>
    </row>
    <row r="479" spans="1:6" ht="15" customHeight="1">
      <c r="A479" s="39" t="s">
        <v>297</v>
      </c>
      <c r="B479" s="3" t="s">
        <v>1371</v>
      </c>
      <c r="C479" s="4">
        <v>0</v>
      </c>
      <c r="D479" s="4"/>
      <c r="E479" s="14">
        <v>0</v>
      </c>
      <c r="F479" s="14" t="e">
        <f t="shared" si="31"/>
        <v>#DIV/0!</v>
      </c>
    </row>
    <row r="480" spans="1:6" ht="30" customHeight="1">
      <c r="A480" s="235" t="s">
        <v>929</v>
      </c>
      <c r="B480" s="236"/>
      <c r="C480" s="61">
        <f>C481+C492</f>
        <v>36000</v>
      </c>
      <c r="D480" s="61">
        <f>D481+D492</f>
        <v>36000</v>
      </c>
      <c r="E480" s="129">
        <f>E481+E492</f>
        <v>0</v>
      </c>
      <c r="F480" s="14">
        <f aca="true" t="shared" si="32" ref="F480:F491">E480/D480*100</f>
        <v>0</v>
      </c>
    </row>
    <row r="481" spans="1:6" ht="25.5" customHeight="1">
      <c r="A481" s="245" t="s">
        <v>1372</v>
      </c>
      <c r="B481" s="238"/>
      <c r="C481" s="5">
        <f>C489</f>
        <v>6000</v>
      </c>
      <c r="D481" s="5">
        <f>D489</f>
        <v>6000</v>
      </c>
      <c r="E481" s="132">
        <f>E489</f>
        <v>0</v>
      </c>
      <c r="F481" s="14">
        <f t="shared" si="32"/>
        <v>0</v>
      </c>
    </row>
    <row r="482" spans="1:6" ht="25.5" customHeight="1">
      <c r="A482" s="233" t="s">
        <v>1060</v>
      </c>
      <c r="B482" s="234"/>
      <c r="C482" s="62">
        <f>SUM(C483:C488)</f>
        <v>6000</v>
      </c>
      <c r="D482" s="62">
        <f>SUM(D483:D488)</f>
        <v>6000</v>
      </c>
      <c r="E482" s="130">
        <f>SUM(E483:E488)</f>
        <v>0</v>
      </c>
      <c r="F482" s="14">
        <f t="shared" si="32"/>
        <v>0</v>
      </c>
    </row>
    <row r="483" spans="1:6" ht="18" customHeight="1">
      <c r="A483" s="229" t="s">
        <v>1025</v>
      </c>
      <c r="B483" s="230"/>
      <c r="C483" s="4">
        <v>6000</v>
      </c>
      <c r="D483" s="4">
        <v>6000</v>
      </c>
      <c r="E483" s="14">
        <v>0</v>
      </c>
      <c r="F483" s="14">
        <f t="shared" si="32"/>
        <v>0</v>
      </c>
    </row>
    <row r="484" spans="1:6" ht="18" customHeight="1">
      <c r="A484" s="229" t="s">
        <v>1227</v>
      </c>
      <c r="B484" s="230"/>
      <c r="C484" s="4">
        <v>0</v>
      </c>
      <c r="D484" s="4">
        <v>0</v>
      </c>
      <c r="E484" s="14">
        <v>0</v>
      </c>
      <c r="F484" s="14" t="e">
        <f t="shared" si="32"/>
        <v>#DIV/0!</v>
      </c>
    </row>
    <row r="485" spans="1:6" ht="18" customHeight="1">
      <c r="A485" s="229" t="s">
        <v>1231</v>
      </c>
      <c r="B485" s="230"/>
      <c r="C485" s="4">
        <v>0</v>
      </c>
      <c r="D485" s="4">
        <v>0</v>
      </c>
      <c r="E485" s="14">
        <v>0</v>
      </c>
      <c r="F485" s="14" t="e">
        <f t="shared" si="32"/>
        <v>#DIV/0!</v>
      </c>
    </row>
    <row r="486" spans="1:6" ht="18" customHeight="1">
      <c r="A486" s="229" t="s">
        <v>1228</v>
      </c>
      <c r="B486" s="230"/>
      <c r="C486" s="4">
        <v>0</v>
      </c>
      <c r="D486" s="4">
        <v>0</v>
      </c>
      <c r="E486" s="14">
        <v>0</v>
      </c>
      <c r="F486" s="14" t="e">
        <f t="shared" si="32"/>
        <v>#DIV/0!</v>
      </c>
    </row>
    <row r="487" spans="1:6" ht="18" customHeight="1">
      <c r="A487" s="229" t="s">
        <v>1229</v>
      </c>
      <c r="B487" s="230"/>
      <c r="C487" s="4">
        <v>0</v>
      </c>
      <c r="D487" s="4">
        <v>0</v>
      </c>
      <c r="E487" s="14">
        <v>0</v>
      </c>
      <c r="F487" s="14" t="e">
        <f t="shared" si="32"/>
        <v>#DIV/0!</v>
      </c>
    </row>
    <row r="488" spans="1:6" ht="18" customHeight="1">
      <c r="A488" s="229" t="s">
        <v>1252</v>
      </c>
      <c r="B488" s="230"/>
      <c r="C488" s="4">
        <v>0</v>
      </c>
      <c r="D488" s="4">
        <v>0</v>
      </c>
      <c r="E488" s="14">
        <v>0</v>
      </c>
      <c r="F488" s="14" t="e">
        <f t="shared" si="32"/>
        <v>#DIV/0!</v>
      </c>
    </row>
    <row r="489" spans="1:6" ht="21" customHeight="1">
      <c r="A489" s="39" t="s">
        <v>292</v>
      </c>
      <c r="B489" s="3" t="s">
        <v>930</v>
      </c>
      <c r="C489" s="4">
        <v>6000</v>
      </c>
      <c r="D489" s="4">
        <v>6000</v>
      </c>
      <c r="E489" s="14">
        <f>E490</f>
        <v>0</v>
      </c>
      <c r="F489" s="14">
        <f t="shared" si="32"/>
        <v>0</v>
      </c>
    </row>
    <row r="490" spans="1:6" ht="18" customHeight="1">
      <c r="A490" s="39" t="s">
        <v>931</v>
      </c>
      <c r="B490" s="3" t="s">
        <v>932</v>
      </c>
      <c r="C490" s="4">
        <v>0</v>
      </c>
      <c r="D490" s="4">
        <v>0</v>
      </c>
      <c r="E490" s="14">
        <f>E491</f>
        <v>0</v>
      </c>
      <c r="F490" s="14" t="e">
        <f t="shared" si="32"/>
        <v>#DIV/0!</v>
      </c>
    </row>
    <row r="491" spans="1:6" ht="15" customHeight="1">
      <c r="A491" s="39" t="s">
        <v>318</v>
      </c>
      <c r="B491" s="3" t="s">
        <v>933</v>
      </c>
      <c r="C491" s="4">
        <v>0</v>
      </c>
      <c r="D491" s="4">
        <v>0</v>
      </c>
      <c r="E491" s="14">
        <v>0</v>
      </c>
      <c r="F491" s="14" t="e">
        <f t="shared" si="32"/>
        <v>#DIV/0!</v>
      </c>
    </row>
    <row r="492" spans="1:6" ht="25.5" customHeight="1">
      <c r="A492" s="237" t="s">
        <v>1373</v>
      </c>
      <c r="B492" s="238"/>
      <c r="C492" s="5">
        <f>C500</f>
        <v>30000</v>
      </c>
      <c r="D492" s="5">
        <f>D500</f>
        <v>30000</v>
      </c>
      <c r="E492" s="132">
        <f>E500</f>
        <v>0</v>
      </c>
      <c r="F492" s="14">
        <f>E492/D492*100</f>
        <v>0</v>
      </c>
    </row>
    <row r="493" spans="1:6" ht="25.5" customHeight="1">
      <c r="A493" s="233" t="s">
        <v>1253</v>
      </c>
      <c r="B493" s="234"/>
      <c r="C493" s="62">
        <f>SUM(C494:C499)</f>
        <v>30000</v>
      </c>
      <c r="D493" s="62">
        <f>SUM(D494:D499)</f>
        <v>30000</v>
      </c>
      <c r="E493" s="130">
        <f>SUM(E494:E499)</f>
        <v>0</v>
      </c>
      <c r="F493" s="14">
        <f aca="true" t="shared" si="33" ref="F493:F499">E493/D493*100</f>
        <v>0</v>
      </c>
    </row>
    <row r="494" spans="1:6" ht="18" customHeight="1">
      <c r="A494" s="229" t="s">
        <v>1025</v>
      </c>
      <c r="B494" s="230"/>
      <c r="C494" s="4">
        <v>30000</v>
      </c>
      <c r="D494" s="4">
        <v>30000</v>
      </c>
      <c r="E494" s="14">
        <v>0</v>
      </c>
      <c r="F494" s="14">
        <f t="shared" si="33"/>
        <v>0</v>
      </c>
    </row>
    <row r="495" spans="1:6" ht="18" customHeight="1">
      <c r="A495" s="229" t="s">
        <v>1227</v>
      </c>
      <c r="B495" s="230"/>
      <c r="C495" s="4">
        <v>0</v>
      </c>
      <c r="D495" s="4">
        <v>0</v>
      </c>
      <c r="E495" s="14">
        <v>0</v>
      </c>
      <c r="F495" s="14" t="e">
        <f t="shared" si="33"/>
        <v>#DIV/0!</v>
      </c>
    </row>
    <row r="496" spans="1:6" ht="18" customHeight="1">
      <c r="A496" s="229" t="s">
        <v>1231</v>
      </c>
      <c r="B496" s="230"/>
      <c r="C496" s="4">
        <v>0</v>
      </c>
      <c r="D496" s="4">
        <v>0</v>
      </c>
      <c r="E496" s="14">
        <v>0</v>
      </c>
      <c r="F496" s="14" t="e">
        <f t="shared" si="33"/>
        <v>#DIV/0!</v>
      </c>
    </row>
    <row r="497" spans="1:6" ht="18" customHeight="1">
      <c r="A497" s="229" t="s">
        <v>1228</v>
      </c>
      <c r="B497" s="230"/>
      <c r="C497" s="4">
        <v>0</v>
      </c>
      <c r="D497" s="4">
        <v>0</v>
      </c>
      <c r="E497" s="14">
        <v>0</v>
      </c>
      <c r="F497" s="14" t="e">
        <f t="shared" si="33"/>
        <v>#DIV/0!</v>
      </c>
    </row>
    <row r="498" spans="1:6" ht="18" customHeight="1">
      <c r="A498" s="229" t="s">
        <v>1229</v>
      </c>
      <c r="B498" s="230"/>
      <c r="C498" s="4">
        <v>0</v>
      </c>
      <c r="D498" s="4">
        <v>0</v>
      </c>
      <c r="E498" s="14">
        <v>0</v>
      </c>
      <c r="F498" s="14" t="e">
        <f t="shared" si="33"/>
        <v>#DIV/0!</v>
      </c>
    </row>
    <row r="499" spans="1:6" ht="18" customHeight="1">
      <c r="A499" s="229" t="s">
        <v>1234</v>
      </c>
      <c r="B499" s="230"/>
      <c r="C499" s="4">
        <v>0</v>
      </c>
      <c r="D499" s="4">
        <v>0</v>
      </c>
      <c r="E499" s="14">
        <v>0</v>
      </c>
      <c r="F499" s="14" t="e">
        <f t="shared" si="33"/>
        <v>#DIV/0!</v>
      </c>
    </row>
    <row r="500" spans="1:6" ht="21" customHeight="1">
      <c r="A500" s="39" t="s">
        <v>292</v>
      </c>
      <c r="B500" s="3" t="s">
        <v>930</v>
      </c>
      <c r="C500" s="4">
        <v>30000</v>
      </c>
      <c r="D500" s="4">
        <v>30000</v>
      </c>
      <c r="E500" s="14">
        <f>E501</f>
        <v>0</v>
      </c>
      <c r="F500" s="14">
        <f aca="true" t="shared" si="34" ref="F500:F525">E500/D500*100</f>
        <v>0</v>
      </c>
    </row>
    <row r="501" spans="1:6" ht="18" customHeight="1">
      <c r="A501" s="39" t="s">
        <v>931</v>
      </c>
      <c r="B501" s="3" t="s">
        <v>723</v>
      </c>
      <c r="C501" s="4">
        <v>0</v>
      </c>
      <c r="D501" s="4">
        <v>0</v>
      </c>
      <c r="E501" s="14">
        <f>E502</f>
        <v>0</v>
      </c>
      <c r="F501" s="14" t="e">
        <f t="shared" si="34"/>
        <v>#DIV/0!</v>
      </c>
    </row>
    <row r="502" spans="1:6" ht="15" customHeight="1">
      <c r="A502" s="39" t="s">
        <v>318</v>
      </c>
      <c r="B502" s="3" t="s">
        <v>934</v>
      </c>
      <c r="C502" s="4">
        <v>0</v>
      </c>
      <c r="D502" s="4">
        <v>0</v>
      </c>
      <c r="E502" s="14">
        <v>0</v>
      </c>
      <c r="F502" s="14" t="e">
        <f t="shared" si="34"/>
        <v>#DIV/0!</v>
      </c>
    </row>
    <row r="503" spans="1:6" ht="30" customHeight="1">
      <c r="A503" s="235" t="s">
        <v>926</v>
      </c>
      <c r="B503" s="236"/>
      <c r="C503" s="61">
        <f>C504+C515+C551+C526+C540+C563</f>
        <v>751000</v>
      </c>
      <c r="D503" s="61">
        <f>D504+D515+D551+D526+D540+D563</f>
        <v>751000</v>
      </c>
      <c r="E503" s="129">
        <f>E504+E515+E551+E526+E540+E563</f>
        <v>10382.29</v>
      </c>
      <c r="F503" s="14">
        <f t="shared" si="34"/>
        <v>1.3824620505992011</v>
      </c>
    </row>
    <row r="504" spans="1:6" ht="25.5" customHeight="1">
      <c r="A504" s="237" t="s">
        <v>927</v>
      </c>
      <c r="B504" s="238"/>
      <c r="C504" s="5">
        <f>C512</f>
        <v>48000</v>
      </c>
      <c r="D504" s="5">
        <f>D512</f>
        <v>48000</v>
      </c>
      <c r="E504" s="132">
        <f>E512</f>
        <v>3812.5</v>
      </c>
      <c r="F504" s="14">
        <f t="shared" si="34"/>
        <v>7.942708333333333</v>
      </c>
    </row>
    <row r="505" spans="1:6" ht="25.5" customHeight="1">
      <c r="A505" s="233" t="s">
        <v>1061</v>
      </c>
      <c r="B505" s="234"/>
      <c r="C505" s="62">
        <f>SUM(C506:C511)</f>
        <v>48000</v>
      </c>
      <c r="D505" s="62">
        <f>SUM(D506:D511)</f>
        <v>48000</v>
      </c>
      <c r="E505" s="130">
        <f>SUM(E506:E511)</f>
        <v>3812.5</v>
      </c>
      <c r="F505" s="14">
        <f t="shared" si="34"/>
        <v>7.942708333333333</v>
      </c>
    </row>
    <row r="506" spans="1:6" ht="18" customHeight="1">
      <c r="A506" s="229" t="s">
        <v>1025</v>
      </c>
      <c r="B506" s="230"/>
      <c r="C506" s="4">
        <v>32336</v>
      </c>
      <c r="D506" s="4">
        <v>32336</v>
      </c>
      <c r="E506" s="14">
        <v>2701.22</v>
      </c>
      <c r="F506" s="14">
        <f t="shared" si="34"/>
        <v>8.353599703117268</v>
      </c>
    </row>
    <row r="507" spans="1:6" ht="18" customHeight="1">
      <c r="A507" s="229" t="s">
        <v>1227</v>
      </c>
      <c r="B507" s="230"/>
      <c r="C507" s="4">
        <v>0</v>
      </c>
      <c r="D507" s="4">
        <v>0</v>
      </c>
      <c r="E507" s="14">
        <v>0</v>
      </c>
      <c r="F507" s="14" t="e">
        <f t="shared" si="34"/>
        <v>#DIV/0!</v>
      </c>
    </row>
    <row r="508" spans="1:6" ht="18" customHeight="1">
      <c r="A508" s="229" t="s">
        <v>1231</v>
      </c>
      <c r="B508" s="230"/>
      <c r="C508" s="4">
        <v>664</v>
      </c>
      <c r="D508" s="4">
        <v>664</v>
      </c>
      <c r="E508" s="14">
        <v>1111.28</v>
      </c>
      <c r="F508" s="14">
        <f t="shared" si="34"/>
        <v>167.36144578313252</v>
      </c>
    </row>
    <row r="509" spans="1:6" ht="18" customHeight="1">
      <c r="A509" s="229" t="s">
        <v>1228</v>
      </c>
      <c r="B509" s="230"/>
      <c r="C509" s="4">
        <v>0</v>
      </c>
      <c r="D509" s="4">
        <v>0</v>
      </c>
      <c r="E509" s="14">
        <v>0</v>
      </c>
      <c r="F509" s="14" t="e">
        <f t="shared" si="34"/>
        <v>#DIV/0!</v>
      </c>
    </row>
    <row r="510" spans="1:6" ht="18" customHeight="1">
      <c r="A510" s="229" t="s">
        <v>1229</v>
      </c>
      <c r="B510" s="230"/>
      <c r="C510" s="4">
        <v>0</v>
      </c>
      <c r="D510" s="4">
        <v>0</v>
      </c>
      <c r="E510" s="14">
        <v>0</v>
      </c>
      <c r="F510" s="14" t="e">
        <f t="shared" si="34"/>
        <v>#DIV/0!</v>
      </c>
    </row>
    <row r="511" spans="1:6" ht="18" customHeight="1">
      <c r="A511" s="229" t="s">
        <v>1419</v>
      </c>
      <c r="B511" s="230"/>
      <c r="C511" s="4">
        <v>15000</v>
      </c>
      <c r="D511" s="4">
        <v>15000</v>
      </c>
      <c r="E511" s="14">
        <v>0</v>
      </c>
      <c r="F511" s="14">
        <f t="shared" si="34"/>
        <v>0</v>
      </c>
    </row>
    <row r="512" spans="1:6" ht="21" customHeight="1">
      <c r="A512" s="39">
        <v>32</v>
      </c>
      <c r="B512" s="3" t="s">
        <v>271</v>
      </c>
      <c r="C512" s="4">
        <v>48000</v>
      </c>
      <c r="D512" s="4">
        <v>48000</v>
      </c>
      <c r="E512" s="14">
        <f>E513</f>
        <v>3812.5</v>
      </c>
      <c r="F512" s="14">
        <f t="shared" si="34"/>
        <v>7.942708333333333</v>
      </c>
    </row>
    <row r="513" spans="1:6" ht="18" customHeight="1">
      <c r="A513" s="39">
        <v>323</v>
      </c>
      <c r="B513" s="3" t="s">
        <v>0</v>
      </c>
      <c r="C513" s="4">
        <v>0</v>
      </c>
      <c r="D513" s="4">
        <v>0</v>
      </c>
      <c r="E513" s="14">
        <f>E514</f>
        <v>3812.5</v>
      </c>
      <c r="F513" s="14" t="e">
        <f t="shared" si="34"/>
        <v>#DIV/0!</v>
      </c>
    </row>
    <row r="514" spans="1:6" ht="15" customHeight="1">
      <c r="A514" s="39">
        <v>3237</v>
      </c>
      <c r="B514" s="3" t="s">
        <v>86</v>
      </c>
      <c r="C514" s="4">
        <v>0</v>
      </c>
      <c r="D514" s="4">
        <v>0</v>
      </c>
      <c r="E514" s="14">
        <v>3812.5</v>
      </c>
      <c r="F514" s="14" t="e">
        <f t="shared" si="34"/>
        <v>#DIV/0!</v>
      </c>
    </row>
    <row r="515" spans="1:6" ht="25.5" customHeight="1">
      <c r="A515" s="237" t="s">
        <v>928</v>
      </c>
      <c r="B515" s="238"/>
      <c r="C515" s="5">
        <f>C523</f>
        <v>23000</v>
      </c>
      <c r="D515" s="5">
        <f>D523</f>
        <v>23000</v>
      </c>
      <c r="E515" s="132">
        <f>E523</f>
        <v>6569.79</v>
      </c>
      <c r="F515" s="14">
        <f t="shared" si="34"/>
        <v>28.564304347826088</v>
      </c>
    </row>
    <row r="516" spans="1:6" ht="25.5" customHeight="1">
      <c r="A516" s="233" t="s">
        <v>1253</v>
      </c>
      <c r="B516" s="234"/>
      <c r="C516" s="62">
        <f>SUM(C517:C522)</f>
        <v>23000</v>
      </c>
      <c r="D516" s="62">
        <f>SUM(D517:D522)</f>
        <v>23000</v>
      </c>
      <c r="E516" s="130">
        <f>SUM(E517:E522)</f>
        <v>6569.79</v>
      </c>
      <c r="F516" s="14">
        <f t="shared" si="34"/>
        <v>28.564304347826088</v>
      </c>
    </row>
    <row r="517" spans="1:6" ht="18" customHeight="1">
      <c r="A517" s="229" t="s">
        <v>1025</v>
      </c>
      <c r="B517" s="230"/>
      <c r="C517" s="4">
        <v>23000</v>
      </c>
      <c r="D517" s="4">
        <v>23000</v>
      </c>
      <c r="E517" s="14">
        <v>6569.79</v>
      </c>
      <c r="F517" s="14">
        <f t="shared" si="34"/>
        <v>28.564304347826088</v>
      </c>
    </row>
    <row r="518" spans="1:6" ht="18" customHeight="1">
      <c r="A518" s="229" t="s">
        <v>1227</v>
      </c>
      <c r="B518" s="230"/>
      <c r="C518" s="4">
        <v>0</v>
      </c>
      <c r="D518" s="4">
        <v>0</v>
      </c>
      <c r="E518" s="14">
        <v>0</v>
      </c>
      <c r="F518" s="14" t="e">
        <f t="shared" si="34"/>
        <v>#DIV/0!</v>
      </c>
    </row>
    <row r="519" spans="1:6" ht="18" customHeight="1">
      <c r="A519" s="229" t="s">
        <v>1231</v>
      </c>
      <c r="B519" s="230"/>
      <c r="C519" s="4">
        <v>0</v>
      </c>
      <c r="D519" s="4">
        <v>0</v>
      </c>
      <c r="E519" s="14">
        <v>0</v>
      </c>
      <c r="F519" s="14" t="e">
        <f t="shared" si="34"/>
        <v>#DIV/0!</v>
      </c>
    </row>
    <row r="520" spans="1:6" ht="18" customHeight="1">
      <c r="A520" s="229" t="s">
        <v>1228</v>
      </c>
      <c r="B520" s="230"/>
      <c r="C520" s="4">
        <v>0</v>
      </c>
      <c r="D520" s="4">
        <v>0</v>
      </c>
      <c r="E520" s="14">
        <v>0</v>
      </c>
      <c r="F520" s="14" t="e">
        <f t="shared" si="34"/>
        <v>#DIV/0!</v>
      </c>
    </row>
    <row r="521" spans="1:6" ht="18" customHeight="1">
      <c r="A521" s="229" t="s">
        <v>1229</v>
      </c>
      <c r="B521" s="230"/>
      <c r="C521" s="4">
        <v>0</v>
      </c>
      <c r="D521" s="4">
        <v>0</v>
      </c>
      <c r="E521" s="14">
        <v>0</v>
      </c>
      <c r="F521" s="14" t="e">
        <f t="shared" si="34"/>
        <v>#DIV/0!</v>
      </c>
    </row>
    <row r="522" spans="1:6" ht="18" customHeight="1">
      <c r="A522" s="229" t="s">
        <v>1234</v>
      </c>
      <c r="B522" s="230"/>
      <c r="C522" s="4">
        <v>0</v>
      </c>
      <c r="D522" s="4">
        <v>0</v>
      </c>
      <c r="E522" s="14">
        <v>0</v>
      </c>
      <c r="F522" s="14" t="e">
        <f t="shared" si="34"/>
        <v>#DIV/0!</v>
      </c>
    </row>
    <row r="523" spans="1:6" ht="21" customHeight="1">
      <c r="A523" s="39">
        <v>42</v>
      </c>
      <c r="B523" s="3" t="s">
        <v>607</v>
      </c>
      <c r="C523" s="4">
        <v>23000</v>
      </c>
      <c r="D523" s="4">
        <v>23000</v>
      </c>
      <c r="E523" s="14">
        <f>E524</f>
        <v>6569.79</v>
      </c>
      <c r="F523" s="14">
        <f t="shared" si="34"/>
        <v>28.564304347826088</v>
      </c>
    </row>
    <row r="524" spans="1:6" ht="18" customHeight="1">
      <c r="A524" s="39">
        <v>426</v>
      </c>
      <c r="B524" s="3" t="s">
        <v>87</v>
      </c>
      <c r="C524" s="4">
        <v>0</v>
      </c>
      <c r="D524" s="4">
        <v>0</v>
      </c>
      <c r="E524" s="14">
        <f>E525</f>
        <v>6569.79</v>
      </c>
      <c r="F524" s="14" t="e">
        <f t="shared" si="34"/>
        <v>#DIV/0!</v>
      </c>
    </row>
    <row r="525" spans="1:6" ht="15" customHeight="1">
      <c r="A525" s="39" t="s">
        <v>318</v>
      </c>
      <c r="B525" s="3" t="s">
        <v>608</v>
      </c>
      <c r="C525" s="4">
        <v>0</v>
      </c>
      <c r="D525" s="4">
        <v>0</v>
      </c>
      <c r="E525" s="14">
        <v>6569.79</v>
      </c>
      <c r="F525" s="14" t="e">
        <f t="shared" si="34"/>
        <v>#DIV/0!</v>
      </c>
    </row>
    <row r="526" spans="1:6" ht="25.5" customHeight="1">
      <c r="A526" s="245" t="s">
        <v>935</v>
      </c>
      <c r="B526" s="238"/>
      <c r="C526" s="5">
        <f>C534+C537</f>
        <v>650000</v>
      </c>
      <c r="D526" s="5">
        <f>D534+D537</f>
        <v>650000</v>
      </c>
      <c r="E526" s="5">
        <f>E534+E537</f>
        <v>0</v>
      </c>
      <c r="F526" s="14">
        <f aca="true" t="shared" si="35" ref="F526:F539">E526/D526*100</f>
        <v>0</v>
      </c>
    </row>
    <row r="527" spans="1:6" ht="25.5" customHeight="1">
      <c r="A527" s="233" t="s">
        <v>1062</v>
      </c>
      <c r="B527" s="234"/>
      <c r="C527" s="62">
        <f>SUM(C528:C533)</f>
        <v>650000</v>
      </c>
      <c r="D527" s="62">
        <f>SUM(D528:D533)</f>
        <v>650000</v>
      </c>
      <c r="E527" s="130">
        <f>SUM(E528:E533)</f>
        <v>0</v>
      </c>
      <c r="F527" s="14">
        <f t="shared" si="35"/>
        <v>0</v>
      </c>
    </row>
    <row r="528" spans="1:6" ht="18" customHeight="1">
      <c r="A528" s="229" t="s">
        <v>1025</v>
      </c>
      <c r="B528" s="230"/>
      <c r="C528" s="4">
        <v>0</v>
      </c>
      <c r="D528" s="4">
        <v>0</v>
      </c>
      <c r="E528" s="14">
        <v>0</v>
      </c>
      <c r="F528" s="14" t="e">
        <f t="shared" si="35"/>
        <v>#DIV/0!</v>
      </c>
    </row>
    <row r="529" spans="1:6" ht="18" customHeight="1">
      <c r="A529" s="229" t="s">
        <v>1227</v>
      </c>
      <c r="B529" s="230"/>
      <c r="C529" s="4">
        <v>0</v>
      </c>
      <c r="D529" s="4">
        <v>0</v>
      </c>
      <c r="E529" s="14">
        <v>0</v>
      </c>
      <c r="F529" s="14" t="e">
        <f t="shared" si="35"/>
        <v>#DIV/0!</v>
      </c>
    </row>
    <row r="530" spans="1:6" ht="18" customHeight="1">
      <c r="A530" s="229" t="s">
        <v>1231</v>
      </c>
      <c r="B530" s="230"/>
      <c r="C530" s="4">
        <v>0</v>
      </c>
      <c r="D530" s="4">
        <v>0</v>
      </c>
      <c r="E530" s="14">
        <v>0</v>
      </c>
      <c r="F530" s="14" t="e">
        <f t="shared" si="35"/>
        <v>#DIV/0!</v>
      </c>
    </row>
    <row r="531" spans="1:6" ht="18" customHeight="1">
      <c r="A531" s="229" t="s">
        <v>1228</v>
      </c>
      <c r="B531" s="230"/>
      <c r="C531" s="4">
        <v>0</v>
      </c>
      <c r="D531" s="4">
        <v>0</v>
      </c>
      <c r="E531" s="14">
        <v>0</v>
      </c>
      <c r="F531" s="14" t="e">
        <f t="shared" si="35"/>
        <v>#DIV/0!</v>
      </c>
    </row>
    <row r="532" spans="1:6" ht="18" customHeight="1">
      <c r="A532" s="229" t="s">
        <v>1229</v>
      </c>
      <c r="B532" s="230"/>
      <c r="C532" s="4">
        <v>0</v>
      </c>
      <c r="D532" s="4">
        <v>0</v>
      </c>
      <c r="E532" s="14">
        <v>0</v>
      </c>
      <c r="F532" s="14" t="e">
        <f t="shared" si="35"/>
        <v>#DIV/0!</v>
      </c>
    </row>
    <row r="533" spans="1:6" ht="18" customHeight="1">
      <c r="A533" s="229" t="s">
        <v>1419</v>
      </c>
      <c r="B533" s="230"/>
      <c r="C533" s="4">
        <v>650000</v>
      </c>
      <c r="D533" s="4">
        <v>650000</v>
      </c>
      <c r="E533" s="14">
        <v>0</v>
      </c>
      <c r="F533" s="14">
        <f t="shared" si="35"/>
        <v>0</v>
      </c>
    </row>
    <row r="534" spans="1:6" ht="21" customHeight="1">
      <c r="A534" s="39">
        <v>41</v>
      </c>
      <c r="B534" s="3" t="s">
        <v>81</v>
      </c>
      <c r="C534" s="4">
        <v>650000</v>
      </c>
      <c r="D534" s="4">
        <v>650000</v>
      </c>
      <c r="E534" s="14">
        <f>E535</f>
        <v>0</v>
      </c>
      <c r="F534" s="14">
        <f t="shared" si="35"/>
        <v>0</v>
      </c>
    </row>
    <row r="535" spans="1:6" ht="18" customHeight="1">
      <c r="A535" s="39">
        <v>411</v>
      </c>
      <c r="B535" s="3" t="s">
        <v>82</v>
      </c>
      <c r="C535" s="4">
        <v>0</v>
      </c>
      <c r="D535" s="4">
        <v>0</v>
      </c>
      <c r="E535" s="14">
        <f>E536</f>
        <v>0</v>
      </c>
      <c r="F535" s="14" t="e">
        <f t="shared" si="35"/>
        <v>#DIV/0!</v>
      </c>
    </row>
    <row r="536" spans="1:6" ht="15" customHeight="1">
      <c r="A536" s="39">
        <v>4111</v>
      </c>
      <c r="B536" s="3" t="s">
        <v>936</v>
      </c>
      <c r="C536" s="73">
        <v>0</v>
      </c>
      <c r="D536" s="73">
        <v>0</v>
      </c>
      <c r="E536" s="133">
        <v>0</v>
      </c>
      <c r="F536" s="14" t="e">
        <f t="shared" si="35"/>
        <v>#DIV/0!</v>
      </c>
    </row>
    <row r="537" spans="1:6" ht="21" customHeight="1">
      <c r="A537" s="39">
        <v>42</v>
      </c>
      <c r="B537" s="3" t="s">
        <v>610</v>
      </c>
      <c r="C537" s="4">
        <f aca="true" t="shared" si="36" ref="C537:E538">C538</f>
        <v>0</v>
      </c>
      <c r="D537" s="4">
        <f t="shared" si="36"/>
        <v>0</v>
      </c>
      <c r="E537" s="14">
        <f t="shared" si="36"/>
        <v>0</v>
      </c>
      <c r="F537" s="14" t="e">
        <f t="shared" si="35"/>
        <v>#DIV/0!</v>
      </c>
    </row>
    <row r="538" spans="1:6" ht="18" customHeight="1">
      <c r="A538" s="39" t="s">
        <v>169</v>
      </c>
      <c r="B538" s="3" t="s">
        <v>84</v>
      </c>
      <c r="C538" s="4">
        <v>0</v>
      </c>
      <c r="D538" s="4">
        <v>0</v>
      </c>
      <c r="E538" s="14">
        <f t="shared" si="36"/>
        <v>0</v>
      </c>
      <c r="F538" s="14" t="e">
        <f t="shared" si="35"/>
        <v>#DIV/0!</v>
      </c>
    </row>
    <row r="539" spans="1:6" ht="15" customHeight="1">
      <c r="A539" s="39" t="s">
        <v>297</v>
      </c>
      <c r="B539" s="3" t="s">
        <v>937</v>
      </c>
      <c r="C539" s="4">
        <v>0</v>
      </c>
      <c r="D539" s="4">
        <v>0</v>
      </c>
      <c r="E539" s="14">
        <v>0</v>
      </c>
      <c r="F539" s="14" t="e">
        <f t="shared" si="35"/>
        <v>#DIV/0!</v>
      </c>
    </row>
    <row r="540" spans="1:6" ht="25.5" customHeight="1">
      <c r="A540" s="245" t="s">
        <v>1063</v>
      </c>
      <c r="B540" s="238"/>
      <c r="C540" s="5">
        <f>C548</f>
        <v>0</v>
      </c>
      <c r="D540" s="5">
        <f>D548</f>
        <v>0</v>
      </c>
      <c r="E540" s="132">
        <f>E548</f>
        <v>0</v>
      </c>
      <c r="F540" s="14" t="e">
        <f>E540/D540*100</f>
        <v>#DIV/0!</v>
      </c>
    </row>
    <row r="541" spans="1:6" ht="25.5" customHeight="1">
      <c r="A541" s="233" t="s">
        <v>1064</v>
      </c>
      <c r="B541" s="234"/>
      <c r="C541" s="62">
        <f>SUM(C542:C547)</f>
        <v>0</v>
      </c>
      <c r="D541" s="62">
        <f>SUM(D542:D547)</f>
        <v>0</v>
      </c>
      <c r="E541" s="130">
        <f>SUM(E542:E547)</f>
        <v>0</v>
      </c>
      <c r="F541" s="14" t="e">
        <f aca="true" t="shared" si="37" ref="F541:F547">E541/D541*100</f>
        <v>#DIV/0!</v>
      </c>
    </row>
    <row r="542" spans="1:6" ht="18" customHeight="1">
      <c r="A542" s="229" t="s">
        <v>1025</v>
      </c>
      <c r="B542" s="230"/>
      <c r="C542" s="4">
        <v>0</v>
      </c>
      <c r="D542" s="4">
        <v>0</v>
      </c>
      <c r="E542" s="14">
        <v>0</v>
      </c>
      <c r="F542" s="14" t="e">
        <f t="shared" si="37"/>
        <v>#DIV/0!</v>
      </c>
    </row>
    <row r="543" spans="1:6" ht="18" customHeight="1">
      <c r="A543" s="229" t="s">
        <v>1227</v>
      </c>
      <c r="B543" s="230"/>
      <c r="C543" s="4">
        <v>0</v>
      </c>
      <c r="D543" s="4">
        <v>0</v>
      </c>
      <c r="E543" s="14">
        <v>0</v>
      </c>
      <c r="F543" s="14" t="e">
        <f t="shared" si="37"/>
        <v>#DIV/0!</v>
      </c>
    </row>
    <row r="544" spans="1:6" ht="18" customHeight="1">
      <c r="A544" s="229" t="s">
        <v>1231</v>
      </c>
      <c r="B544" s="230"/>
      <c r="C544" s="4">
        <v>0</v>
      </c>
      <c r="D544" s="4">
        <v>0</v>
      </c>
      <c r="E544" s="14">
        <v>0</v>
      </c>
      <c r="F544" s="14" t="e">
        <f t="shared" si="37"/>
        <v>#DIV/0!</v>
      </c>
    </row>
    <row r="545" spans="1:6" ht="18" customHeight="1">
      <c r="A545" s="229" t="s">
        <v>1228</v>
      </c>
      <c r="B545" s="230"/>
      <c r="C545" s="4">
        <v>0</v>
      </c>
      <c r="D545" s="4">
        <v>0</v>
      </c>
      <c r="E545" s="14">
        <v>0</v>
      </c>
      <c r="F545" s="14" t="e">
        <f t="shared" si="37"/>
        <v>#DIV/0!</v>
      </c>
    </row>
    <row r="546" spans="1:6" ht="18" customHeight="1">
      <c r="A546" s="229" t="s">
        <v>1229</v>
      </c>
      <c r="B546" s="230"/>
      <c r="C546" s="4">
        <v>0</v>
      </c>
      <c r="D546" s="4">
        <v>0</v>
      </c>
      <c r="E546" s="14">
        <v>0</v>
      </c>
      <c r="F546" s="14" t="e">
        <f t="shared" si="37"/>
        <v>#DIV/0!</v>
      </c>
    </row>
    <row r="547" spans="1:6" ht="18" customHeight="1">
      <c r="A547" s="229" t="s">
        <v>1234</v>
      </c>
      <c r="B547" s="230"/>
      <c r="C547" s="4">
        <v>0</v>
      </c>
      <c r="D547" s="4">
        <v>0</v>
      </c>
      <c r="E547" s="14">
        <v>0</v>
      </c>
      <c r="F547" s="14" t="e">
        <f t="shared" si="37"/>
        <v>#DIV/0!</v>
      </c>
    </row>
    <row r="548" spans="1:6" ht="21" customHeight="1">
      <c r="A548" s="39">
        <v>41</v>
      </c>
      <c r="B548" s="3" t="s">
        <v>81</v>
      </c>
      <c r="C548" s="4">
        <f aca="true" t="shared" si="38" ref="C548:E549">C549</f>
        <v>0</v>
      </c>
      <c r="D548" s="4">
        <f t="shared" si="38"/>
        <v>0</v>
      </c>
      <c r="E548" s="14">
        <f t="shared" si="38"/>
        <v>0</v>
      </c>
      <c r="F548" s="14" t="e">
        <f>E548/D548*100</f>
        <v>#DIV/0!</v>
      </c>
    </row>
    <row r="549" spans="1:6" ht="18" customHeight="1">
      <c r="A549" s="39">
        <v>411</v>
      </c>
      <c r="B549" s="3" t="s">
        <v>82</v>
      </c>
      <c r="C549" s="4">
        <v>0</v>
      </c>
      <c r="D549" s="4">
        <v>0</v>
      </c>
      <c r="E549" s="14">
        <f t="shared" si="38"/>
        <v>0</v>
      </c>
      <c r="F549" s="14" t="e">
        <f>E549/D549*100</f>
        <v>#DIV/0!</v>
      </c>
    </row>
    <row r="550" spans="1:6" ht="15" customHeight="1">
      <c r="A550" s="39">
        <v>4111</v>
      </c>
      <c r="B550" s="3" t="s">
        <v>689</v>
      </c>
      <c r="C550" s="4">
        <v>0</v>
      </c>
      <c r="D550" s="4">
        <v>0</v>
      </c>
      <c r="E550" s="14">
        <v>0</v>
      </c>
      <c r="F550" s="14" t="e">
        <f>E550/D550*100</f>
        <v>#DIV/0!</v>
      </c>
    </row>
    <row r="551" spans="1:6" ht="25.5" customHeight="1">
      <c r="A551" s="237" t="s">
        <v>1065</v>
      </c>
      <c r="B551" s="238"/>
      <c r="C551" s="5">
        <f>C559</f>
        <v>30000</v>
      </c>
      <c r="D551" s="5">
        <f>D559</f>
        <v>30000</v>
      </c>
      <c r="E551" s="132">
        <f>E559</f>
        <v>0</v>
      </c>
      <c r="F551" s="14">
        <f>E551/D551*100</f>
        <v>0</v>
      </c>
    </row>
    <row r="552" spans="1:6" ht="25.5" customHeight="1">
      <c r="A552" s="233" t="s">
        <v>1066</v>
      </c>
      <c r="B552" s="234"/>
      <c r="C552" s="62">
        <f>SUM(C553:C558)</f>
        <v>30000</v>
      </c>
      <c r="D552" s="62">
        <f>SUM(D553:D558)</f>
        <v>30000</v>
      </c>
      <c r="E552" s="130">
        <f>SUM(E553:E558)</f>
        <v>0</v>
      </c>
      <c r="F552" s="14">
        <f aca="true" t="shared" si="39" ref="F552:F558">E552/D552*100</f>
        <v>0</v>
      </c>
    </row>
    <row r="553" spans="1:6" ht="18" customHeight="1">
      <c r="A553" s="229" t="s">
        <v>1025</v>
      </c>
      <c r="B553" s="230"/>
      <c r="C553" s="4">
        <v>30000</v>
      </c>
      <c r="D553" s="4">
        <v>30000</v>
      </c>
      <c r="E553" s="14">
        <v>0</v>
      </c>
      <c r="F553" s="14">
        <f t="shared" si="39"/>
        <v>0</v>
      </c>
    </row>
    <row r="554" spans="1:6" ht="18" customHeight="1">
      <c r="A554" s="229" t="s">
        <v>1227</v>
      </c>
      <c r="B554" s="230"/>
      <c r="C554" s="4">
        <v>0</v>
      </c>
      <c r="D554" s="4">
        <v>0</v>
      </c>
      <c r="E554" s="14">
        <v>0</v>
      </c>
      <c r="F554" s="14" t="e">
        <f t="shared" si="39"/>
        <v>#DIV/0!</v>
      </c>
    </row>
    <row r="555" spans="1:6" ht="18" customHeight="1">
      <c r="A555" s="229" t="s">
        <v>1231</v>
      </c>
      <c r="B555" s="230"/>
      <c r="C555" s="4">
        <v>0</v>
      </c>
      <c r="D555" s="4">
        <v>0</v>
      </c>
      <c r="E555" s="14">
        <v>0</v>
      </c>
      <c r="F555" s="14" t="e">
        <f t="shared" si="39"/>
        <v>#DIV/0!</v>
      </c>
    </row>
    <row r="556" spans="1:6" ht="18" customHeight="1">
      <c r="A556" s="229" t="s">
        <v>1228</v>
      </c>
      <c r="B556" s="230"/>
      <c r="C556" s="4">
        <v>0</v>
      </c>
      <c r="D556" s="4">
        <v>0</v>
      </c>
      <c r="E556" s="14">
        <v>0</v>
      </c>
      <c r="F556" s="14" t="e">
        <f t="shared" si="39"/>
        <v>#DIV/0!</v>
      </c>
    </row>
    <row r="557" spans="1:6" ht="18" customHeight="1">
      <c r="A557" s="229" t="s">
        <v>1229</v>
      </c>
      <c r="B557" s="230"/>
      <c r="C557" s="4">
        <v>0</v>
      </c>
      <c r="D557" s="4">
        <v>0</v>
      </c>
      <c r="E557" s="14">
        <v>0</v>
      </c>
      <c r="F557" s="14" t="e">
        <f t="shared" si="39"/>
        <v>#DIV/0!</v>
      </c>
    </row>
    <row r="558" spans="1:6" ht="18" customHeight="1">
      <c r="A558" s="229" t="s">
        <v>1234</v>
      </c>
      <c r="B558" s="230"/>
      <c r="C558" s="4">
        <v>0</v>
      </c>
      <c r="D558" s="4">
        <v>0</v>
      </c>
      <c r="E558" s="14">
        <v>0</v>
      </c>
      <c r="F558" s="14" t="e">
        <f t="shared" si="39"/>
        <v>#DIV/0!</v>
      </c>
    </row>
    <row r="559" spans="1:6" ht="21" customHeight="1">
      <c r="A559" s="39">
        <v>32</v>
      </c>
      <c r="B559" s="3" t="s">
        <v>271</v>
      </c>
      <c r="C559" s="4">
        <v>30000</v>
      </c>
      <c r="D559" s="4">
        <v>30000</v>
      </c>
      <c r="E559" s="14">
        <f>E560</f>
        <v>0</v>
      </c>
      <c r="F559" s="14">
        <f>E559/D559*100</f>
        <v>0</v>
      </c>
    </row>
    <row r="560" spans="1:6" ht="18" customHeight="1">
      <c r="A560" s="39">
        <v>323</v>
      </c>
      <c r="B560" s="3" t="s">
        <v>0</v>
      </c>
      <c r="C560" s="4">
        <v>0</v>
      </c>
      <c r="D560" s="4">
        <v>0</v>
      </c>
      <c r="E560" s="14">
        <f>E561+E562</f>
        <v>0</v>
      </c>
      <c r="F560" s="14" t="e">
        <f>E560/D560*100</f>
        <v>#DIV/0!</v>
      </c>
    </row>
    <row r="561" spans="1:6" ht="15" customHeight="1">
      <c r="A561" s="39" t="s">
        <v>135</v>
      </c>
      <c r="B561" s="3" t="s">
        <v>609</v>
      </c>
      <c r="C561" s="4">
        <v>0</v>
      </c>
      <c r="D561" s="4">
        <v>0</v>
      </c>
      <c r="E561" s="14">
        <v>0</v>
      </c>
      <c r="F561" s="14" t="e">
        <f>E561/D561*100</f>
        <v>#DIV/0!</v>
      </c>
    </row>
    <row r="562" spans="1:6" ht="15" customHeight="1">
      <c r="A562" s="39" t="s">
        <v>35</v>
      </c>
      <c r="B562" s="3" t="s">
        <v>765</v>
      </c>
      <c r="C562" s="4">
        <v>0</v>
      </c>
      <c r="D562" s="4">
        <v>0</v>
      </c>
      <c r="E562" s="14">
        <v>0</v>
      </c>
      <c r="F562" s="14" t="e">
        <f>E562/D562*100</f>
        <v>#DIV/0!</v>
      </c>
    </row>
    <row r="563" spans="1:6" ht="25.5" customHeight="1">
      <c r="A563" s="245" t="s">
        <v>1067</v>
      </c>
      <c r="B563" s="238"/>
      <c r="C563" s="5">
        <f>C571</f>
        <v>0</v>
      </c>
      <c r="D563" s="5">
        <f>D571</f>
        <v>0</v>
      </c>
      <c r="E563" s="5">
        <f>E571</f>
        <v>0</v>
      </c>
      <c r="F563" s="14" t="e">
        <f aca="true" t="shared" si="40" ref="F563:F573">E563/D563*100</f>
        <v>#DIV/0!</v>
      </c>
    </row>
    <row r="564" spans="1:6" ht="25.5" customHeight="1">
      <c r="A564" s="233" t="s">
        <v>1068</v>
      </c>
      <c r="B564" s="234"/>
      <c r="C564" s="62">
        <f>SUM(C565:C570)</f>
        <v>0</v>
      </c>
      <c r="D564" s="62">
        <f>SUM(D565:D570)</f>
        <v>0</v>
      </c>
      <c r="E564" s="130">
        <f>SUM(E565:E570)</f>
        <v>0</v>
      </c>
      <c r="F564" s="14" t="e">
        <f t="shared" si="40"/>
        <v>#DIV/0!</v>
      </c>
    </row>
    <row r="565" spans="1:6" ht="18" customHeight="1">
      <c r="A565" s="229" t="s">
        <v>1025</v>
      </c>
      <c r="B565" s="230"/>
      <c r="C565" s="4">
        <v>0</v>
      </c>
      <c r="D565" s="4">
        <v>0</v>
      </c>
      <c r="E565" s="14">
        <v>0</v>
      </c>
      <c r="F565" s="14" t="e">
        <f t="shared" si="40"/>
        <v>#DIV/0!</v>
      </c>
    </row>
    <row r="566" spans="1:6" ht="18" customHeight="1">
      <c r="A566" s="229" t="s">
        <v>1227</v>
      </c>
      <c r="B566" s="230"/>
      <c r="C566" s="4">
        <v>0</v>
      </c>
      <c r="D566" s="4">
        <v>0</v>
      </c>
      <c r="E566" s="14">
        <v>0</v>
      </c>
      <c r="F566" s="14" t="e">
        <f t="shared" si="40"/>
        <v>#DIV/0!</v>
      </c>
    </row>
    <row r="567" spans="1:6" ht="18" customHeight="1">
      <c r="A567" s="229" t="s">
        <v>1231</v>
      </c>
      <c r="B567" s="230"/>
      <c r="C567" s="4">
        <v>0</v>
      </c>
      <c r="D567" s="4">
        <v>0</v>
      </c>
      <c r="E567" s="14">
        <v>0</v>
      </c>
      <c r="F567" s="14" t="e">
        <f t="shared" si="40"/>
        <v>#DIV/0!</v>
      </c>
    </row>
    <row r="568" spans="1:6" ht="18" customHeight="1">
      <c r="A568" s="229" t="s">
        <v>1228</v>
      </c>
      <c r="B568" s="230"/>
      <c r="C568" s="4">
        <v>0</v>
      </c>
      <c r="D568" s="4">
        <v>0</v>
      </c>
      <c r="E568" s="14">
        <v>0</v>
      </c>
      <c r="F568" s="14" t="e">
        <f t="shared" si="40"/>
        <v>#DIV/0!</v>
      </c>
    </row>
    <row r="569" spans="1:6" ht="18" customHeight="1">
      <c r="A569" s="229" t="s">
        <v>1229</v>
      </c>
      <c r="B569" s="230"/>
      <c r="C569" s="4">
        <v>0</v>
      </c>
      <c r="D569" s="4">
        <v>0</v>
      </c>
      <c r="E569" s="14">
        <v>0</v>
      </c>
      <c r="F569" s="14" t="e">
        <f t="shared" si="40"/>
        <v>#DIV/0!</v>
      </c>
    </row>
    <row r="570" spans="1:6" ht="18" customHeight="1">
      <c r="A570" s="229" t="s">
        <v>1234</v>
      </c>
      <c r="B570" s="230"/>
      <c r="C570" s="4">
        <v>0</v>
      </c>
      <c r="D570" s="4">
        <v>0</v>
      </c>
      <c r="E570" s="14">
        <v>0</v>
      </c>
      <c r="F570" s="14" t="e">
        <f t="shared" si="40"/>
        <v>#DIV/0!</v>
      </c>
    </row>
    <row r="571" spans="1:6" ht="21" customHeight="1">
      <c r="A571" s="39">
        <v>42</v>
      </c>
      <c r="B571" s="3" t="s">
        <v>610</v>
      </c>
      <c r="C571" s="4">
        <f aca="true" t="shared" si="41" ref="C571:E572">C572</f>
        <v>0</v>
      </c>
      <c r="D571" s="4">
        <f t="shared" si="41"/>
        <v>0</v>
      </c>
      <c r="E571" s="14">
        <f t="shared" si="41"/>
        <v>0</v>
      </c>
      <c r="F571" s="14" t="e">
        <f t="shared" si="40"/>
        <v>#DIV/0!</v>
      </c>
    </row>
    <row r="572" spans="1:6" ht="18" customHeight="1">
      <c r="A572" s="39" t="s">
        <v>169</v>
      </c>
      <c r="B572" s="3" t="s">
        <v>84</v>
      </c>
      <c r="C572" s="4">
        <v>0</v>
      </c>
      <c r="D572" s="4">
        <v>0</v>
      </c>
      <c r="E572" s="14">
        <f t="shared" si="41"/>
        <v>0</v>
      </c>
      <c r="F572" s="14" t="e">
        <f t="shared" si="40"/>
        <v>#DIV/0!</v>
      </c>
    </row>
    <row r="573" spans="1:6" ht="15" customHeight="1">
      <c r="A573" s="39" t="s">
        <v>297</v>
      </c>
      <c r="B573" s="3" t="s">
        <v>937</v>
      </c>
      <c r="C573" s="4">
        <v>0</v>
      </c>
      <c r="D573" s="4">
        <v>0</v>
      </c>
      <c r="E573" s="14">
        <v>0</v>
      </c>
      <c r="F573" s="14" t="e">
        <f t="shared" si="40"/>
        <v>#DIV/0!</v>
      </c>
    </row>
    <row r="574" spans="1:6" ht="30" customHeight="1">
      <c r="A574" s="235" t="s">
        <v>938</v>
      </c>
      <c r="B574" s="236"/>
      <c r="C574" s="61">
        <f>C575</f>
        <v>0</v>
      </c>
      <c r="D574" s="61">
        <f>D575</f>
        <v>0</v>
      </c>
      <c r="E574" s="129">
        <f>E575</f>
        <v>0</v>
      </c>
      <c r="F574" s="14" t="e">
        <f aca="true" t="shared" si="42" ref="F574:F611">E574/D574*100</f>
        <v>#DIV/0!</v>
      </c>
    </row>
    <row r="575" spans="1:6" ht="25.5" customHeight="1">
      <c r="A575" s="245" t="s">
        <v>939</v>
      </c>
      <c r="B575" s="238"/>
      <c r="C575" s="5">
        <f>C583</f>
        <v>0</v>
      </c>
      <c r="D575" s="5">
        <f>D583</f>
        <v>0</v>
      </c>
      <c r="E575" s="132">
        <f>E583</f>
        <v>0</v>
      </c>
      <c r="F575" s="14" t="e">
        <f t="shared" si="42"/>
        <v>#DIV/0!</v>
      </c>
    </row>
    <row r="576" spans="1:6" ht="25.5" customHeight="1">
      <c r="A576" s="233" t="s">
        <v>1069</v>
      </c>
      <c r="B576" s="234"/>
      <c r="C576" s="62">
        <f>SUM(C577:C582)</f>
        <v>0</v>
      </c>
      <c r="D576" s="62">
        <f>SUM(D577:D582)</f>
        <v>0</v>
      </c>
      <c r="E576" s="130">
        <f>SUM(E577:E582)</f>
        <v>0</v>
      </c>
      <c r="F576" s="14" t="e">
        <f t="shared" si="42"/>
        <v>#DIV/0!</v>
      </c>
    </row>
    <row r="577" spans="1:6" ht="18" customHeight="1">
      <c r="A577" s="229" t="s">
        <v>1025</v>
      </c>
      <c r="B577" s="230"/>
      <c r="C577" s="4">
        <v>0</v>
      </c>
      <c r="D577" s="4">
        <v>0</v>
      </c>
      <c r="E577" s="14">
        <v>0</v>
      </c>
      <c r="F577" s="14" t="e">
        <f t="shared" si="42"/>
        <v>#DIV/0!</v>
      </c>
    </row>
    <row r="578" spans="1:6" ht="18" customHeight="1">
      <c r="A578" s="229" t="s">
        <v>1227</v>
      </c>
      <c r="B578" s="230"/>
      <c r="C578" s="4">
        <v>0</v>
      </c>
      <c r="D578" s="4">
        <v>0</v>
      </c>
      <c r="E578" s="14">
        <v>0</v>
      </c>
      <c r="F578" s="14" t="e">
        <f t="shared" si="42"/>
        <v>#DIV/0!</v>
      </c>
    </row>
    <row r="579" spans="1:6" ht="18" customHeight="1">
      <c r="A579" s="229" t="s">
        <v>1231</v>
      </c>
      <c r="B579" s="230"/>
      <c r="C579" s="4">
        <v>0</v>
      </c>
      <c r="D579" s="4">
        <v>0</v>
      </c>
      <c r="E579" s="14">
        <v>0</v>
      </c>
      <c r="F579" s="14" t="e">
        <f t="shared" si="42"/>
        <v>#DIV/0!</v>
      </c>
    </row>
    <row r="580" spans="1:6" ht="18" customHeight="1">
      <c r="A580" s="229" t="s">
        <v>1228</v>
      </c>
      <c r="B580" s="230"/>
      <c r="C580" s="4">
        <v>0</v>
      </c>
      <c r="D580" s="4">
        <v>0</v>
      </c>
      <c r="E580" s="14">
        <v>0</v>
      </c>
      <c r="F580" s="14" t="e">
        <f t="shared" si="42"/>
        <v>#DIV/0!</v>
      </c>
    </row>
    <row r="581" spans="1:6" ht="18" customHeight="1">
      <c r="A581" s="229" t="s">
        <v>1229</v>
      </c>
      <c r="B581" s="230"/>
      <c r="C581" s="4">
        <v>0</v>
      </c>
      <c r="D581" s="4">
        <v>0</v>
      </c>
      <c r="E581" s="14">
        <v>0</v>
      </c>
      <c r="F581" s="14" t="e">
        <f t="shared" si="42"/>
        <v>#DIV/0!</v>
      </c>
    </row>
    <row r="582" spans="1:6" ht="18" customHeight="1">
      <c r="A582" s="229" t="s">
        <v>1234</v>
      </c>
      <c r="B582" s="230"/>
      <c r="C582" s="4">
        <v>0</v>
      </c>
      <c r="D582" s="4">
        <v>0</v>
      </c>
      <c r="E582" s="14">
        <v>0</v>
      </c>
      <c r="F582" s="14" t="e">
        <f t="shared" si="42"/>
        <v>#DIV/0!</v>
      </c>
    </row>
    <row r="583" spans="1:6" ht="21" customHeight="1">
      <c r="A583" s="39">
        <v>38</v>
      </c>
      <c r="B583" s="3" t="s">
        <v>556</v>
      </c>
      <c r="C583" s="4">
        <f>C584</f>
        <v>0</v>
      </c>
      <c r="D583" s="4">
        <f>D584</f>
        <v>0</v>
      </c>
      <c r="E583" s="14">
        <f>E584</f>
        <v>0</v>
      </c>
      <c r="F583" s="14" t="e">
        <f t="shared" si="42"/>
        <v>#DIV/0!</v>
      </c>
    </row>
    <row r="584" spans="1:6" ht="18" customHeight="1">
      <c r="A584" s="39">
        <v>386</v>
      </c>
      <c r="B584" s="3" t="s">
        <v>85</v>
      </c>
      <c r="C584" s="4">
        <v>0</v>
      </c>
      <c r="D584" s="4">
        <v>0</v>
      </c>
      <c r="E584" s="14">
        <f>E585</f>
        <v>0</v>
      </c>
      <c r="F584" s="14" t="e">
        <f t="shared" si="42"/>
        <v>#DIV/0!</v>
      </c>
    </row>
    <row r="585" spans="1:6" ht="15" customHeight="1">
      <c r="A585" s="39">
        <v>3861</v>
      </c>
      <c r="B585" s="3" t="s">
        <v>88</v>
      </c>
      <c r="C585" s="4">
        <v>0</v>
      </c>
      <c r="D585" s="4">
        <v>0</v>
      </c>
      <c r="E585" s="14">
        <v>0</v>
      </c>
      <c r="F585" s="14" t="e">
        <f t="shared" si="42"/>
        <v>#DIV/0!</v>
      </c>
    </row>
    <row r="586" spans="1:6" ht="30" customHeight="1">
      <c r="A586" s="235" t="s">
        <v>940</v>
      </c>
      <c r="B586" s="236"/>
      <c r="C586" s="61">
        <f>C587+C601+C612</f>
        <v>332000</v>
      </c>
      <c r="D586" s="61">
        <f>D587+D601+D612</f>
        <v>332000</v>
      </c>
      <c r="E586" s="129">
        <f>E587+E601+E612</f>
        <v>108666.31999999999</v>
      </c>
      <c r="F586" s="14">
        <f t="shared" si="42"/>
        <v>32.73081927710843</v>
      </c>
    </row>
    <row r="587" spans="1:6" ht="25.5" customHeight="1">
      <c r="A587" s="237" t="s">
        <v>941</v>
      </c>
      <c r="B587" s="238"/>
      <c r="C587" s="5">
        <f>C595</f>
        <v>112000</v>
      </c>
      <c r="D587" s="5">
        <f>D595</f>
        <v>112000</v>
      </c>
      <c r="E587" s="132">
        <f>E595</f>
        <v>69644.29</v>
      </c>
      <c r="F587" s="14">
        <f t="shared" si="42"/>
        <v>62.18240178571428</v>
      </c>
    </row>
    <row r="588" spans="1:6" ht="25.5" customHeight="1">
      <c r="A588" s="233" t="s">
        <v>1070</v>
      </c>
      <c r="B588" s="234"/>
      <c r="C588" s="62">
        <f>SUM(C589:C594)</f>
        <v>112000</v>
      </c>
      <c r="D588" s="62">
        <f>SUM(D589:D594)</f>
        <v>112000</v>
      </c>
      <c r="E588" s="130">
        <f>SUM(E589:E594)</f>
        <v>69644.29</v>
      </c>
      <c r="F588" s="14">
        <f t="shared" si="42"/>
        <v>62.18240178571428</v>
      </c>
    </row>
    <row r="589" spans="1:6" ht="18" customHeight="1">
      <c r="A589" s="229" t="s">
        <v>1025</v>
      </c>
      <c r="B589" s="230"/>
      <c r="C589" s="4">
        <v>0</v>
      </c>
      <c r="D589" s="4">
        <v>0</v>
      </c>
      <c r="E589" s="14">
        <v>0</v>
      </c>
      <c r="F589" s="14" t="e">
        <f t="shared" si="42"/>
        <v>#DIV/0!</v>
      </c>
    </row>
    <row r="590" spans="1:6" ht="18" customHeight="1">
      <c r="A590" s="229" t="s">
        <v>1227</v>
      </c>
      <c r="B590" s="230"/>
      <c r="C590" s="4">
        <v>0</v>
      </c>
      <c r="D590" s="4">
        <v>0</v>
      </c>
      <c r="E590" s="14">
        <v>0</v>
      </c>
      <c r="F590" s="14" t="e">
        <f t="shared" si="42"/>
        <v>#DIV/0!</v>
      </c>
    </row>
    <row r="591" spans="1:6" ht="18" customHeight="1">
      <c r="A591" s="229" t="s">
        <v>1231</v>
      </c>
      <c r="B591" s="230"/>
      <c r="C591" s="4">
        <v>112000</v>
      </c>
      <c r="D591" s="4">
        <v>112000</v>
      </c>
      <c r="E591" s="14">
        <v>69644.29</v>
      </c>
      <c r="F591" s="14">
        <f t="shared" si="42"/>
        <v>62.18240178571428</v>
      </c>
    </row>
    <row r="592" spans="1:6" ht="18" customHeight="1">
      <c r="A592" s="229" t="s">
        <v>1228</v>
      </c>
      <c r="B592" s="230"/>
      <c r="C592" s="4">
        <v>0</v>
      </c>
      <c r="D592" s="4">
        <v>0</v>
      </c>
      <c r="E592" s="14">
        <v>0</v>
      </c>
      <c r="F592" s="14" t="e">
        <f t="shared" si="42"/>
        <v>#DIV/0!</v>
      </c>
    </row>
    <row r="593" spans="1:6" ht="18" customHeight="1">
      <c r="A593" s="229" t="s">
        <v>1229</v>
      </c>
      <c r="B593" s="230"/>
      <c r="C593" s="4">
        <v>0</v>
      </c>
      <c r="D593" s="4">
        <v>0</v>
      </c>
      <c r="E593" s="14">
        <v>0</v>
      </c>
      <c r="F593" s="14" t="e">
        <f t="shared" si="42"/>
        <v>#DIV/0!</v>
      </c>
    </row>
    <row r="594" spans="1:6" ht="18" customHeight="1">
      <c r="A594" s="229" t="s">
        <v>1234</v>
      </c>
      <c r="B594" s="230"/>
      <c r="C594" s="4">
        <v>0</v>
      </c>
      <c r="D594" s="4">
        <v>0</v>
      </c>
      <c r="E594" s="14">
        <v>0</v>
      </c>
      <c r="F594" s="14" t="e">
        <f t="shared" si="42"/>
        <v>#DIV/0!</v>
      </c>
    </row>
    <row r="595" spans="1:6" ht="21" customHeight="1">
      <c r="A595" s="39">
        <v>32</v>
      </c>
      <c r="B595" s="3" t="s">
        <v>63</v>
      </c>
      <c r="C595" s="4">
        <v>112000</v>
      </c>
      <c r="D595" s="4">
        <v>112000</v>
      </c>
      <c r="E595" s="14">
        <f>E596+E599</f>
        <v>69644.29</v>
      </c>
      <c r="F595" s="14">
        <f t="shared" si="42"/>
        <v>62.18240178571428</v>
      </c>
    </row>
    <row r="596" spans="1:6" ht="18" customHeight="1">
      <c r="A596" s="39">
        <v>322</v>
      </c>
      <c r="B596" s="3" t="s">
        <v>19</v>
      </c>
      <c r="C596" s="4">
        <v>0</v>
      </c>
      <c r="D596" s="4">
        <v>0</v>
      </c>
      <c r="E596" s="14">
        <f>SUM(E597:E598)</f>
        <v>38954.53</v>
      </c>
      <c r="F596" s="14" t="e">
        <f t="shared" si="42"/>
        <v>#DIV/0!</v>
      </c>
    </row>
    <row r="597" spans="1:6" ht="15" customHeight="1">
      <c r="A597" s="39">
        <v>3223</v>
      </c>
      <c r="B597" s="3" t="s">
        <v>132</v>
      </c>
      <c r="C597" s="4">
        <v>0</v>
      </c>
      <c r="D597" s="4">
        <v>0</v>
      </c>
      <c r="E597" s="14">
        <v>23294.82</v>
      </c>
      <c r="F597" s="14" t="e">
        <f t="shared" si="42"/>
        <v>#DIV/0!</v>
      </c>
    </row>
    <row r="598" spans="1:6" ht="15" customHeight="1">
      <c r="A598" s="39">
        <v>3224</v>
      </c>
      <c r="B598" s="3" t="s">
        <v>89</v>
      </c>
      <c r="C598" s="4">
        <v>0</v>
      </c>
      <c r="D598" s="4">
        <v>0</v>
      </c>
      <c r="E598" s="14">
        <v>15659.71</v>
      </c>
      <c r="F598" s="14" t="e">
        <f t="shared" si="42"/>
        <v>#DIV/0!</v>
      </c>
    </row>
    <row r="599" spans="1:6" ht="18" customHeight="1">
      <c r="A599" s="39">
        <v>323</v>
      </c>
      <c r="B599" s="3" t="s">
        <v>72</v>
      </c>
      <c r="C599" s="4">
        <v>500000</v>
      </c>
      <c r="D599" s="4">
        <v>500000</v>
      </c>
      <c r="E599" s="14">
        <f>E600</f>
        <v>30689.76</v>
      </c>
      <c r="F599" s="14">
        <f t="shared" si="42"/>
        <v>6.137952</v>
      </c>
    </row>
    <row r="600" spans="1:6" ht="15" customHeight="1">
      <c r="A600" s="39">
        <v>3232</v>
      </c>
      <c r="B600" s="3" t="s">
        <v>73</v>
      </c>
      <c r="C600" s="4">
        <v>0</v>
      </c>
      <c r="D600" s="4">
        <v>0</v>
      </c>
      <c r="E600" s="14">
        <v>30689.76</v>
      </c>
      <c r="F600" s="14" t="e">
        <f t="shared" si="42"/>
        <v>#DIV/0!</v>
      </c>
    </row>
    <row r="601" spans="1:6" ht="25.5" customHeight="1">
      <c r="A601" s="237" t="s">
        <v>1254</v>
      </c>
      <c r="B601" s="238"/>
      <c r="C601" s="5">
        <f>C609</f>
        <v>150000</v>
      </c>
      <c r="D601" s="5">
        <f>D609</f>
        <v>150000</v>
      </c>
      <c r="E601" s="132">
        <f>E609</f>
        <v>39022.03</v>
      </c>
      <c r="F601" s="14">
        <f t="shared" si="42"/>
        <v>26.014686666666663</v>
      </c>
    </row>
    <row r="602" spans="1:6" ht="25.5" customHeight="1">
      <c r="A602" s="233" t="s">
        <v>1071</v>
      </c>
      <c r="B602" s="234"/>
      <c r="C602" s="62">
        <f>SUM(C603:C608)</f>
        <v>150000</v>
      </c>
      <c r="D602" s="62">
        <f>SUM(D603:D608)</f>
        <v>150000</v>
      </c>
      <c r="E602" s="130">
        <f>SUM(E603:E608)</f>
        <v>39022.03</v>
      </c>
      <c r="F602" s="14">
        <f t="shared" si="42"/>
        <v>26.014686666666663</v>
      </c>
    </row>
    <row r="603" spans="1:6" ht="18" customHeight="1">
      <c r="A603" s="229" t="s">
        <v>1025</v>
      </c>
      <c r="B603" s="230"/>
      <c r="C603" s="4">
        <v>97300</v>
      </c>
      <c r="D603" s="4">
        <v>97300</v>
      </c>
      <c r="E603" s="14">
        <v>0</v>
      </c>
      <c r="F603" s="14">
        <f t="shared" si="42"/>
        <v>0</v>
      </c>
    </row>
    <row r="604" spans="1:6" ht="18" customHeight="1">
      <c r="A604" s="229" t="s">
        <v>1227</v>
      </c>
      <c r="B604" s="230"/>
      <c r="C604" s="4">
        <v>0</v>
      </c>
      <c r="D604" s="4">
        <v>0</v>
      </c>
      <c r="E604" s="14">
        <v>0</v>
      </c>
      <c r="F604" s="14" t="e">
        <f t="shared" si="42"/>
        <v>#DIV/0!</v>
      </c>
    </row>
    <row r="605" spans="1:6" ht="18" customHeight="1">
      <c r="A605" s="229" t="s">
        <v>1231</v>
      </c>
      <c r="B605" s="230"/>
      <c r="C605" s="4">
        <v>52700</v>
      </c>
      <c r="D605" s="4">
        <v>52700</v>
      </c>
      <c r="E605" s="14">
        <v>34199.28</v>
      </c>
      <c r="F605" s="14">
        <f t="shared" si="42"/>
        <v>64.89426944971537</v>
      </c>
    </row>
    <row r="606" spans="1:6" ht="18" customHeight="1">
      <c r="A606" s="229" t="s">
        <v>1228</v>
      </c>
      <c r="B606" s="230"/>
      <c r="C606" s="4">
        <v>0</v>
      </c>
      <c r="D606" s="4">
        <v>0</v>
      </c>
      <c r="E606" s="14">
        <v>0</v>
      </c>
      <c r="F606" s="14" t="e">
        <f t="shared" si="42"/>
        <v>#DIV/0!</v>
      </c>
    </row>
    <row r="607" spans="1:6" ht="18" customHeight="1">
      <c r="A607" s="229" t="s">
        <v>1229</v>
      </c>
      <c r="B607" s="230"/>
      <c r="C607" s="4">
        <v>0</v>
      </c>
      <c r="D607" s="4">
        <v>0</v>
      </c>
      <c r="E607" s="14">
        <v>0</v>
      </c>
      <c r="F607" s="14" t="e">
        <f t="shared" si="42"/>
        <v>#DIV/0!</v>
      </c>
    </row>
    <row r="608" spans="1:6" ht="18" customHeight="1">
      <c r="A608" s="229" t="s">
        <v>1234</v>
      </c>
      <c r="B608" s="230"/>
      <c r="C608" s="4">
        <v>0</v>
      </c>
      <c r="D608" s="4">
        <v>0</v>
      </c>
      <c r="E608" s="14">
        <v>4822.75</v>
      </c>
      <c r="F608" s="14" t="e">
        <f t="shared" si="42"/>
        <v>#DIV/0!</v>
      </c>
    </row>
    <row r="609" spans="1:6" ht="21" customHeight="1">
      <c r="A609" s="39">
        <v>42</v>
      </c>
      <c r="B609" s="3" t="s">
        <v>610</v>
      </c>
      <c r="C609" s="4">
        <v>150000</v>
      </c>
      <c r="D609" s="4">
        <v>150000</v>
      </c>
      <c r="E609" s="14">
        <f>E610</f>
        <v>39022.03</v>
      </c>
      <c r="F609" s="14">
        <f t="shared" si="42"/>
        <v>26.014686666666663</v>
      </c>
    </row>
    <row r="610" spans="1:6" ht="18" customHeight="1">
      <c r="A610" s="39" t="s">
        <v>169</v>
      </c>
      <c r="B610" s="3" t="s">
        <v>84</v>
      </c>
      <c r="C610" s="4">
        <v>0</v>
      </c>
      <c r="D610" s="4">
        <v>0</v>
      </c>
      <c r="E610" s="14">
        <f>E611</f>
        <v>39022.03</v>
      </c>
      <c r="F610" s="14" t="e">
        <f t="shared" si="42"/>
        <v>#DIV/0!</v>
      </c>
    </row>
    <row r="611" spans="1:6" ht="15" customHeight="1">
      <c r="A611" s="39" t="s">
        <v>297</v>
      </c>
      <c r="B611" s="3" t="s">
        <v>611</v>
      </c>
      <c r="C611" s="4">
        <v>0</v>
      </c>
      <c r="D611" s="4">
        <v>0</v>
      </c>
      <c r="E611" s="14">
        <v>39022.03</v>
      </c>
      <c r="F611" s="14" t="e">
        <f t="shared" si="42"/>
        <v>#DIV/0!</v>
      </c>
    </row>
    <row r="612" spans="1:6" ht="25.5" customHeight="1">
      <c r="A612" s="237" t="s">
        <v>1255</v>
      </c>
      <c r="B612" s="238"/>
      <c r="C612" s="5">
        <f>C621</f>
        <v>70000</v>
      </c>
      <c r="D612" s="5">
        <f>D621</f>
        <v>70000</v>
      </c>
      <c r="E612" s="132">
        <f>E621</f>
        <v>0</v>
      </c>
      <c r="F612" s="14">
        <f aca="true" t="shared" si="43" ref="F612:F623">E612/D612*100</f>
        <v>0</v>
      </c>
    </row>
    <row r="613" spans="1:6" ht="25.5" customHeight="1">
      <c r="A613" s="233" t="s">
        <v>1256</v>
      </c>
      <c r="B613" s="234"/>
      <c r="C613" s="62">
        <f>SUM(C614:C620)</f>
        <v>70000</v>
      </c>
      <c r="D613" s="62">
        <f>SUM(D614:D620)</f>
        <v>70000</v>
      </c>
      <c r="E613" s="130">
        <f>SUM(E614:E620)</f>
        <v>0</v>
      </c>
      <c r="F613" s="14">
        <f t="shared" si="43"/>
        <v>0</v>
      </c>
    </row>
    <row r="614" spans="1:6" ht="18" customHeight="1">
      <c r="A614" s="229" t="s">
        <v>1025</v>
      </c>
      <c r="B614" s="230"/>
      <c r="C614" s="4">
        <v>0</v>
      </c>
      <c r="D614" s="4">
        <v>0</v>
      </c>
      <c r="E614" s="14">
        <v>0</v>
      </c>
      <c r="F614" s="14" t="e">
        <f t="shared" si="43"/>
        <v>#DIV/0!</v>
      </c>
    </row>
    <row r="615" spans="1:6" ht="18" customHeight="1">
      <c r="A615" s="229" t="s">
        <v>1227</v>
      </c>
      <c r="B615" s="230"/>
      <c r="C615" s="4">
        <v>0</v>
      </c>
      <c r="D615" s="4">
        <v>0</v>
      </c>
      <c r="E615" s="14">
        <v>0</v>
      </c>
      <c r="F615" s="14" t="e">
        <f t="shared" si="43"/>
        <v>#DIV/0!</v>
      </c>
    </row>
    <row r="616" spans="1:6" ht="18" customHeight="1">
      <c r="A616" s="229" t="s">
        <v>1231</v>
      </c>
      <c r="B616" s="230"/>
      <c r="C616" s="4">
        <v>0</v>
      </c>
      <c r="D616" s="4">
        <v>0</v>
      </c>
      <c r="E616" s="14">
        <v>0</v>
      </c>
      <c r="F616" s="14" t="e">
        <f t="shared" si="43"/>
        <v>#DIV/0!</v>
      </c>
    </row>
    <row r="617" spans="1:6" ht="18" customHeight="1">
      <c r="A617" s="229" t="s">
        <v>1228</v>
      </c>
      <c r="B617" s="230"/>
      <c r="C617" s="4">
        <v>0</v>
      </c>
      <c r="D617" s="4">
        <v>0</v>
      </c>
      <c r="E617" s="14">
        <v>0</v>
      </c>
      <c r="F617" s="14" t="e">
        <f t="shared" si="43"/>
        <v>#DIV/0!</v>
      </c>
    </row>
    <row r="618" spans="1:6" ht="18" customHeight="1">
      <c r="A618" s="229" t="s">
        <v>1229</v>
      </c>
      <c r="B618" s="230"/>
      <c r="C618" s="4">
        <v>0</v>
      </c>
      <c r="D618" s="4">
        <v>0</v>
      </c>
      <c r="E618" s="14">
        <v>0</v>
      </c>
      <c r="F618" s="14" t="e">
        <f t="shared" si="43"/>
        <v>#DIV/0!</v>
      </c>
    </row>
    <row r="619" spans="1:6" ht="18" customHeight="1">
      <c r="A619" s="229" t="s">
        <v>1234</v>
      </c>
      <c r="B619" s="230"/>
      <c r="C619" s="4">
        <v>0</v>
      </c>
      <c r="D619" s="4">
        <v>0</v>
      </c>
      <c r="E619" s="14">
        <v>0</v>
      </c>
      <c r="F619" s="14" t="e">
        <f t="shared" si="43"/>
        <v>#DIV/0!</v>
      </c>
    </row>
    <row r="620" spans="1:6" ht="18" customHeight="1">
      <c r="A620" s="229" t="s">
        <v>1419</v>
      </c>
      <c r="B620" s="230"/>
      <c r="C620" s="4">
        <v>70000</v>
      </c>
      <c r="D620" s="4">
        <v>70000</v>
      </c>
      <c r="E620" s="14">
        <v>0</v>
      </c>
      <c r="F620" s="14">
        <f>E620/D620*100</f>
        <v>0</v>
      </c>
    </row>
    <row r="621" spans="1:6" ht="21" customHeight="1">
      <c r="A621" s="39">
        <v>42</v>
      </c>
      <c r="B621" s="3" t="s">
        <v>610</v>
      </c>
      <c r="C621" s="4">
        <v>70000</v>
      </c>
      <c r="D621" s="4">
        <v>70000</v>
      </c>
      <c r="E621" s="14">
        <f>E622</f>
        <v>0</v>
      </c>
      <c r="F621" s="14">
        <f t="shared" si="43"/>
        <v>0</v>
      </c>
    </row>
    <row r="622" spans="1:6" ht="18" customHeight="1">
      <c r="A622" s="39" t="s">
        <v>169</v>
      </c>
      <c r="B622" s="3" t="s">
        <v>84</v>
      </c>
      <c r="C622" s="4">
        <v>0</v>
      </c>
      <c r="D622" s="4">
        <v>0</v>
      </c>
      <c r="E622" s="14">
        <f>E623</f>
        <v>0</v>
      </c>
      <c r="F622" s="14" t="e">
        <f t="shared" si="43"/>
        <v>#DIV/0!</v>
      </c>
    </row>
    <row r="623" spans="1:6" ht="15" customHeight="1">
      <c r="A623" s="39" t="s">
        <v>297</v>
      </c>
      <c r="B623" s="3" t="s">
        <v>611</v>
      </c>
      <c r="C623" s="4">
        <v>0</v>
      </c>
      <c r="D623" s="4">
        <v>0</v>
      </c>
      <c r="E623" s="14">
        <v>0</v>
      </c>
      <c r="F623" s="14" t="e">
        <f t="shared" si="43"/>
        <v>#DIV/0!</v>
      </c>
    </row>
    <row r="624" spans="1:6" ht="30" customHeight="1">
      <c r="A624" s="235" t="s">
        <v>1258</v>
      </c>
      <c r="B624" s="236"/>
      <c r="C624" s="61">
        <f>C625+C642+C648+C659+C670</f>
        <v>1447620</v>
      </c>
      <c r="D624" s="61">
        <f>D625+D642+D648+D659+D670</f>
        <v>1447620</v>
      </c>
      <c r="E624" s="129">
        <f>E625+E642+E648+E659+E670</f>
        <v>355224.9</v>
      </c>
      <c r="F624" s="14">
        <f>E624/D624*100</f>
        <v>24.53854602727235</v>
      </c>
    </row>
    <row r="625" spans="1:6" ht="25.5" customHeight="1">
      <c r="A625" s="239" t="s">
        <v>942</v>
      </c>
      <c r="B625" s="240"/>
      <c r="C625" s="5">
        <f>C633</f>
        <v>656000</v>
      </c>
      <c r="D625" s="5">
        <f>D633</f>
        <v>656000</v>
      </c>
      <c r="E625" s="132">
        <f>E633</f>
        <v>303659.7</v>
      </c>
      <c r="F625" s="14">
        <f>E625/D625*100</f>
        <v>46.289588414634146</v>
      </c>
    </row>
    <row r="626" spans="1:6" ht="25.5" customHeight="1">
      <c r="A626" s="233" t="s">
        <v>1072</v>
      </c>
      <c r="B626" s="234"/>
      <c r="C626" s="62">
        <f>SUM(C627:C632)</f>
        <v>656000</v>
      </c>
      <c r="D626" s="62">
        <f>SUM(D627:D632)</f>
        <v>656000</v>
      </c>
      <c r="E626" s="130">
        <f>SUM(E627:E632)</f>
        <v>303659.7</v>
      </c>
      <c r="F626" s="14">
        <f aca="true" t="shared" si="44" ref="F626:F632">E626/D626*100</f>
        <v>46.289588414634146</v>
      </c>
    </row>
    <row r="627" spans="1:6" ht="18" customHeight="1">
      <c r="A627" s="229" t="s">
        <v>1025</v>
      </c>
      <c r="B627" s="230"/>
      <c r="C627" s="4">
        <v>473200</v>
      </c>
      <c r="D627" s="4">
        <v>473200</v>
      </c>
      <c r="E627" s="14">
        <v>152359.07</v>
      </c>
      <c r="F627" s="14">
        <f t="shared" si="44"/>
        <v>32.1976056635672</v>
      </c>
    </row>
    <row r="628" spans="1:6" ht="18" customHeight="1">
      <c r="A628" s="229" t="s">
        <v>1227</v>
      </c>
      <c r="B628" s="230"/>
      <c r="C628" s="4">
        <v>0</v>
      </c>
      <c r="D628" s="4">
        <v>0</v>
      </c>
      <c r="E628" s="14">
        <v>0</v>
      </c>
      <c r="F628" s="14" t="e">
        <f t="shared" si="44"/>
        <v>#DIV/0!</v>
      </c>
    </row>
    <row r="629" spans="1:6" ht="18" customHeight="1">
      <c r="A629" s="229" t="s">
        <v>1231</v>
      </c>
      <c r="B629" s="230"/>
      <c r="C629" s="4">
        <v>182800</v>
      </c>
      <c r="D629" s="4">
        <v>182800</v>
      </c>
      <c r="E629" s="14">
        <v>151300.63</v>
      </c>
      <c r="F629" s="14">
        <f t="shared" si="44"/>
        <v>82.76839715536106</v>
      </c>
    </row>
    <row r="630" spans="1:6" ht="18" customHeight="1">
      <c r="A630" s="229" t="s">
        <v>1228</v>
      </c>
      <c r="B630" s="230"/>
      <c r="C630" s="4">
        <v>0</v>
      </c>
      <c r="D630" s="4">
        <v>0</v>
      </c>
      <c r="E630" s="14">
        <v>0</v>
      </c>
      <c r="F630" s="14" t="e">
        <f t="shared" si="44"/>
        <v>#DIV/0!</v>
      </c>
    </row>
    <row r="631" spans="1:6" ht="18" customHeight="1">
      <c r="A631" s="229" t="s">
        <v>1229</v>
      </c>
      <c r="B631" s="230"/>
      <c r="C631" s="4">
        <v>0</v>
      </c>
      <c r="D631" s="4">
        <v>0</v>
      </c>
      <c r="E631" s="14">
        <v>0</v>
      </c>
      <c r="F631" s="14" t="e">
        <f t="shared" si="44"/>
        <v>#DIV/0!</v>
      </c>
    </row>
    <row r="632" spans="1:6" ht="18" customHeight="1">
      <c r="A632" s="229" t="s">
        <v>1234</v>
      </c>
      <c r="B632" s="230"/>
      <c r="C632" s="4">
        <v>0</v>
      </c>
      <c r="D632" s="4">
        <v>0</v>
      </c>
      <c r="E632" s="14">
        <v>0</v>
      </c>
      <c r="F632" s="14" t="e">
        <f t="shared" si="44"/>
        <v>#DIV/0!</v>
      </c>
    </row>
    <row r="633" spans="1:6" ht="21" customHeight="1">
      <c r="A633" s="39">
        <v>32</v>
      </c>
      <c r="B633" s="3" t="s">
        <v>63</v>
      </c>
      <c r="C633" s="4">
        <v>656000</v>
      </c>
      <c r="D633" s="4">
        <v>656000</v>
      </c>
      <c r="E633" s="14">
        <f>SUM(E634+E637)</f>
        <v>303659.7</v>
      </c>
      <c r="F633" s="14">
        <f aca="true" t="shared" si="45" ref="F633:F648">E633/D633*100</f>
        <v>46.289588414634146</v>
      </c>
    </row>
    <row r="634" spans="1:6" ht="18" customHeight="1">
      <c r="A634" s="39">
        <v>322</v>
      </c>
      <c r="B634" s="3" t="s">
        <v>70</v>
      </c>
      <c r="C634" s="4">
        <v>0</v>
      </c>
      <c r="D634" s="4">
        <v>0</v>
      </c>
      <c r="E634" s="14">
        <f>E635+E636</f>
        <v>35519.57</v>
      </c>
      <c r="F634" s="14" t="e">
        <f t="shared" si="45"/>
        <v>#DIV/0!</v>
      </c>
    </row>
    <row r="635" spans="1:6" ht="15" customHeight="1">
      <c r="A635" s="39" t="s">
        <v>272</v>
      </c>
      <c r="B635" s="3" t="s">
        <v>612</v>
      </c>
      <c r="C635" s="4">
        <v>0</v>
      </c>
      <c r="D635" s="4">
        <v>0</v>
      </c>
      <c r="E635" s="14">
        <v>22900</v>
      </c>
      <c r="F635" s="14" t="e">
        <f t="shared" si="45"/>
        <v>#DIV/0!</v>
      </c>
    </row>
    <row r="636" spans="1:6" ht="15" customHeight="1">
      <c r="A636" s="39">
        <v>3224</v>
      </c>
      <c r="B636" s="3" t="s">
        <v>90</v>
      </c>
      <c r="C636" s="4">
        <v>0</v>
      </c>
      <c r="D636" s="4">
        <v>0</v>
      </c>
      <c r="E636" s="14">
        <v>12619.57</v>
      </c>
      <c r="F636" s="14" t="e">
        <f t="shared" si="45"/>
        <v>#DIV/0!</v>
      </c>
    </row>
    <row r="637" spans="1:6" ht="18" customHeight="1">
      <c r="A637" s="39">
        <v>323</v>
      </c>
      <c r="B637" s="3" t="s">
        <v>0</v>
      </c>
      <c r="C637" s="4">
        <v>0</v>
      </c>
      <c r="D637" s="4">
        <v>0</v>
      </c>
      <c r="E637" s="14">
        <f>SUM(E638:E641)</f>
        <v>268140.13</v>
      </c>
      <c r="F637" s="14" t="e">
        <f t="shared" si="45"/>
        <v>#DIV/0!</v>
      </c>
    </row>
    <row r="638" spans="1:6" ht="15" customHeight="1">
      <c r="A638" s="39">
        <v>3232</v>
      </c>
      <c r="B638" s="3" t="s">
        <v>91</v>
      </c>
      <c r="C638" s="4">
        <v>0</v>
      </c>
      <c r="D638" s="4">
        <v>0</v>
      </c>
      <c r="E638" s="14">
        <v>90765.72</v>
      </c>
      <c r="F638" s="14" t="e">
        <f t="shared" si="45"/>
        <v>#DIV/0!</v>
      </c>
    </row>
    <row r="639" spans="1:6" ht="15" customHeight="1">
      <c r="A639" s="39">
        <v>3234</v>
      </c>
      <c r="B639" s="3" t="s">
        <v>92</v>
      </c>
      <c r="C639" s="4">
        <v>0</v>
      </c>
      <c r="D639" s="4">
        <v>0</v>
      </c>
      <c r="E639" s="14">
        <v>51261.75</v>
      </c>
      <c r="F639" s="14" t="e">
        <f t="shared" si="45"/>
        <v>#DIV/0!</v>
      </c>
    </row>
    <row r="640" spans="1:6" ht="15" customHeight="1">
      <c r="A640" s="39" t="s">
        <v>96</v>
      </c>
      <c r="B640" s="3" t="s">
        <v>97</v>
      </c>
      <c r="C640" s="4">
        <v>0</v>
      </c>
      <c r="D640" s="4">
        <v>0</v>
      </c>
      <c r="E640" s="14">
        <v>10216.66</v>
      </c>
      <c r="F640" s="14" t="e">
        <f t="shared" si="45"/>
        <v>#DIV/0!</v>
      </c>
    </row>
    <row r="641" spans="1:6" ht="15" customHeight="1">
      <c r="A641" s="39" t="s">
        <v>337</v>
      </c>
      <c r="B641" s="3" t="s">
        <v>613</v>
      </c>
      <c r="C641" s="4">
        <v>0</v>
      </c>
      <c r="D641" s="4">
        <v>0</v>
      </c>
      <c r="E641" s="14">
        <v>115896</v>
      </c>
      <c r="F641" s="14" t="e">
        <f t="shared" si="45"/>
        <v>#DIV/0!</v>
      </c>
    </row>
    <row r="642" spans="1:6" ht="35.25" customHeight="1">
      <c r="A642" s="239" t="s">
        <v>1126</v>
      </c>
      <c r="B642" s="240"/>
      <c r="C642" s="5">
        <f>C645</f>
        <v>70000</v>
      </c>
      <c r="D642" s="5">
        <f>D645</f>
        <v>70000</v>
      </c>
      <c r="E642" s="132">
        <f>E645</f>
        <v>0</v>
      </c>
      <c r="F642" s="14">
        <f t="shared" si="45"/>
        <v>0</v>
      </c>
    </row>
    <row r="643" spans="1:6" ht="25.5" customHeight="1">
      <c r="A643" s="233" t="s">
        <v>1425</v>
      </c>
      <c r="B643" s="234"/>
      <c r="C643" s="62">
        <f>C644</f>
        <v>70000</v>
      </c>
      <c r="D643" s="62">
        <f>D644</f>
        <v>70000</v>
      </c>
      <c r="E643" s="130">
        <f>E644</f>
        <v>0</v>
      </c>
      <c r="F643" s="14">
        <f t="shared" si="45"/>
        <v>0</v>
      </c>
    </row>
    <row r="644" spans="1:6" ht="18" customHeight="1">
      <c r="A644" s="229" t="s">
        <v>1025</v>
      </c>
      <c r="B644" s="230"/>
      <c r="C644" s="4">
        <v>70000</v>
      </c>
      <c r="D644" s="4">
        <v>70000</v>
      </c>
      <c r="E644" s="14">
        <v>0</v>
      </c>
      <c r="F644" s="14">
        <f t="shared" si="45"/>
        <v>0</v>
      </c>
    </row>
    <row r="645" spans="1:6" ht="21" customHeight="1">
      <c r="A645" s="39">
        <v>38</v>
      </c>
      <c r="B645" s="70" t="s">
        <v>556</v>
      </c>
      <c r="C645" s="4">
        <f aca="true" t="shared" si="46" ref="C645:E646">C646</f>
        <v>70000</v>
      </c>
      <c r="D645" s="4">
        <f t="shared" si="46"/>
        <v>70000</v>
      </c>
      <c r="E645" s="14">
        <f t="shared" si="46"/>
        <v>0</v>
      </c>
      <c r="F645" s="14">
        <f t="shared" si="45"/>
        <v>0</v>
      </c>
    </row>
    <row r="646" spans="1:6" ht="18" customHeight="1">
      <c r="A646" s="39">
        <v>386</v>
      </c>
      <c r="B646" s="3" t="s">
        <v>85</v>
      </c>
      <c r="C646" s="4">
        <v>70000</v>
      </c>
      <c r="D646" s="4">
        <v>70000</v>
      </c>
      <c r="E646" s="14">
        <f t="shared" si="46"/>
        <v>0</v>
      </c>
      <c r="F646" s="14">
        <f t="shared" si="45"/>
        <v>0</v>
      </c>
    </row>
    <row r="647" spans="1:6" ht="15" customHeight="1">
      <c r="A647" s="39">
        <v>3861</v>
      </c>
      <c r="B647" s="3" t="s">
        <v>614</v>
      </c>
      <c r="C647" s="4">
        <v>0</v>
      </c>
      <c r="D647" s="4">
        <v>0</v>
      </c>
      <c r="E647" s="14">
        <v>0</v>
      </c>
      <c r="F647" s="14" t="e">
        <f t="shared" si="45"/>
        <v>#DIV/0!</v>
      </c>
    </row>
    <row r="648" spans="1:6" ht="25.5" customHeight="1">
      <c r="A648" s="237" t="s">
        <v>943</v>
      </c>
      <c r="B648" s="238"/>
      <c r="C648" s="5">
        <f>C656</f>
        <v>663620</v>
      </c>
      <c r="D648" s="5">
        <f>D656</f>
        <v>663620</v>
      </c>
      <c r="E648" s="132">
        <f>E656</f>
        <v>51565.2</v>
      </c>
      <c r="F648" s="14">
        <f t="shared" si="45"/>
        <v>7.770290226334348</v>
      </c>
    </row>
    <row r="649" spans="1:6" ht="25.5" customHeight="1">
      <c r="A649" s="233" t="s">
        <v>1073</v>
      </c>
      <c r="B649" s="234"/>
      <c r="C649" s="62">
        <f>SUM(C650:C655)</f>
        <v>663620</v>
      </c>
      <c r="D649" s="62">
        <f>SUM(D650:D655)</f>
        <v>663620</v>
      </c>
      <c r="E649" s="130">
        <f>SUM(E650:E655)</f>
        <v>51565.2</v>
      </c>
      <c r="F649" s="14">
        <f aca="true" t="shared" si="47" ref="F649:F655">E649/D649*100</f>
        <v>7.770290226334348</v>
      </c>
    </row>
    <row r="650" spans="1:6" ht="18" customHeight="1">
      <c r="A650" s="229" t="s">
        <v>1025</v>
      </c>
      <c r="B650" s="230"/>
      <c r="C650" s="4">
        <v>147290</v>
      </c>
      <c r="D650" s="4">
        <v>147290</v>
      </c>
      <c r="E650" s="14">
        <v>0</v>
      </c>
      <c r="F650" s="14">
        <f t="shared" si="47"/>
        <v>0</v>
      </c>
    </row>
    <row r="651" spans="1:6" ht="18" customHeight="1">
      <c r="A651" s="229" t="s">
        <v>1227</v>
      </c>
      <c r="B651" s="230"/>
      <c r="C651" s="4">
        <v>0</v>
      </c>
      <c r="D651" s="4">
        <v>0</v>
      </c>
      <c r="E651" s="14">
        <v>0</v>
      </c>
      <c r="F651" s="14" t="e">
        <f t="shared" si="47"/>
        <v>#DIV/0!</v>
      </c>
    </row>
    <row r="652" spans="1:6" ht="18" customHeight="1">
      <c r="A652" s="229" t="s">
        <v>1231</v>
      </c>
      <c r="B652" s="230"/>
      <c r="C652" s="4">
        <v>115500</v>
      </c>
      <c r="D652" s="4">
        <v>115500</v>
      </c>
      <c r="E652" s="14">
        <v>51565.2</v>
      </c>
      <c r="F652" s="14">
        <f t="shared" si="47"/>
        <v>44.645194805194805</v>
      </c>
    </row>
    <row r="653" spans="1:6" ht="18" customHeight="1">
      <c r="A653" s="229" t="s">
        <v>1228</v>
      </c>
      <c r="B653" s="230"/>
      <c r="C653" s="4">
        <v>400830</v>
      </c>
      <c r="D653" s="4">
        <v>400830</v>
      </c>
      <c r="E653" s="14">
        <v>0</v>
      </c>
      <c r="F653" s="14">
        <f t="shared" si="47"/>
        <v>0</v>
      </c>
    </row>
    <row r="654" spans="1:6" ht="18" customHeight="1">
      <c r="A654" s="229" t="s">
        <v>1229</v>
      </c>
      <c r="B654" s="230"/>
      <c r="C654" s="4">
        <v>0</v>
      </c>
      <c r="D654" s="4">
        <v>0</v>
      </c>
      <c r="E654" s="14">
        <v>0</v>
      </c>
      <c r="F654" s="14" t="e">
        <f t="shared" si="47"/>
        <v>#DIV/0!</v>
      </c>
    </row>
    <row r="655" spans="1:6" ht="18" customHeight="1">
      <c r="A655" s="229" t="s">
        <v>1234</v>
      </c>
      <c r="B655" s="230"/>
      <c r="C655" s="4">
        <v>0</v>
      </c>
      <c r="D655" s="4">
        <v>0</v>
      </c>
      <c r="E655" s="14">
        <v>0</v>
      </c>
      <c r="F655" s="14" t="e">
        <f t="shared" si="47"/>
        <v>#DIV/0!</v>
      </c>
    </row>
    <row r="656" spans="1:6" ht="21" customHeight="1">
      <c r="A656" s="39">
        <v>42</v>
      </c>
      <c r="B656" s="3" t="s">
        <v>83</v>
      </c>
      <c r="C656" s="4">
        <v>663620</v>
      </c>
      <c r="D656" s="4">
        <v>663620</v>
      </c>
      <c r="E656" s="14">
        <f>E657</f>
        <v>51565.2</v>
      </c>
      <c r="F656" s="14">
        <f>E656/D656*100</f>
        <v>7.770290226334348</v>
      </c>
    </row>
    <row r="657" spans="1:6" ht="18" customHeight="1">
      <c r="A657" s="39" t="s">
        <v>169</v>
      </c>
      <c r="B657" s="3" t="s">
        <v>84</v>
      </c>
      <c r="C657" s="4">
        <v>0</v>
      </c>
      <c r="D657" s="4">
        <v>0</v>
      </c>
      <c r="E657" s="14">
        <f>E658</f>
        <v>51565.2</v>
      </c>
      <c r="F657" s="14" t="e">
        <f>E657/D657*100</f>
        <v>#DIV/0!</v>
      </c>
    </row>
    <row r="658" spans="1:6" ht="15" customHeight="1">
      <c r="A658" s="39" t="s">
        <v>170</v>
      </c>
      <c r="B658" s="3" t="s">
        <v>171</v>
      </c>
      <c r="C658" s="4">
        <v>0</v>
      </c>
      <c r="D658" s="4">
        <v>0</v>
      </c>
      <c r="E658" s="14">
        <v>51565.2</v>
      </c>
      <c r="F658" s="14" t="e">
        <f>E658/D658*100</f>
        <v>#DIV/0!</v>
      </c>
    </row>
    <row r="659" spans="1:6" ht="25.5" customHeight="1">
      <c r="A659" s="237" t="s">
        <v>1077</v>
      </c>
      <c r="B659" s="238"/>
      <c r="C659" s="5">
        <f>C667</f>
        <v>43000</v>
      </c>
      <c r="D659" s="5">
        <f>D667</f>
        <v>43000</v>
      </c>
      <c r="E659" s="132">
        <f>E667</f>
        <v>0</v>
      </c>
      <c r="F659" s="14">
        <f aca="true" t="shared" si="48" ref="F659:F669">E659/D659*100</f>
        <v>0</v>
      </c>
    </row>
    <row r="660" spans="1:6" ht="25.5" customHeight="1">
      <c r="A660" s="233" t="s">
        <v>1074</v>
      </c>
      <c r="B660" s="234"/>
      <c r="C660" s="62">
        <f>SUM(C661:C666)</f>
        <v>43000</v>
      </c>
      <c r="D660" s="62">
        <f>SUM(D661:D666)</f>
        <v>43000</v>
      </c>
      <c r="E660" s="130">
        <f>SUM(E661:E666)</f>
        <v>0</v>
      </c>
      <c r="F660" s="14">
        <f t="shared" si="48"/>
        <v>0</v>
      </c>
    </row>
    <row r="661" spans="1:6" ht="18" customHeight="1">
      <c r="A661" s="229" t="s">
        <v>1025</v>
      </c>
      <c r="B661" s="230"/>
      <c r="C661" s="4">
        <v>0</v>
      </c>
      <c r="D661" s="4">
        <v>0</v>
      </c>
      <c r="E661" s="14">
        <v>0</v>
      </c>
      <c r="F661" s="14" t="e">
        <f t="shared" si="48"/>
        <v>#DIV/0!</v>
      </c>
    </row>
    <row r="662" spans="1:6" ht="18" customHeight="1">
      <c r="A662" s="229" t="s">
        <v>1227</v>
      </c>
      <c r="B662" s="230"/>
      <c r="C662" s="4">
        <v>0</v>
      </c>
      <c r="D662" s="4">
        <v>0</v>
      </c>
      <c r="E662" s="14">
        <v>0</v>
      </c>
      <c r="F662" s="14" t="e">
        <f t="shared" si="48"/>
        <v>#DIV/0!</v>
      </c>
    </row>
    <row r="663" spans="1:6" ht="18" customHeight="1">
      <c r="A663" s="229" t="s">
        <v>1231</v>
      </c>
      <c r="B663" s="230"/>
      <c r="C663" s="4">
        <v>0</v>
      </c>
      <c r="D663" s="4">
        <v>0</v>
      </c>
      <c r="E663" s="14">
        <v>0</v>
      </c>
      <c r="F663" s="14" t="e">
        <f t="shared" si="48"/>
        <v>#DIV/0!</v>
      </c>
    </row>
    <row r="664" spans="1:6" ht="18" customHeight="1">
      <c r="A664" s="229" t="s">
        <v>1228</v>
      </c>
      <c r="B664" s="230"/>
      <c r="C664" s="4">
        <v>0</v>
      </c>
      <c r="D664" s="4">
        <v>0</v>
      </c>
      <c r="E664" s="14">
        <v>0</v>
      </c>
      <c r="F664" s="14" t="e">
        <f t="shared" si="48"/>
        <v>#DIV/0!</v>
      </c>
    </row>
    <row r="665" spans="1:6" ht="18" customHeight="1">
      <c r="A665" s="229" t="s">
        <v>1229</v>
      </c>
      <c r="B665" s="230"/>
      <c r="C665" s="4">
        <v>0</v>
      </c>
      <c r="D665" s="4">
        <v>0</v>
      </c>
      <c r="E665" s="14">
        <v>0</v>
      </c>
      <c r="F665" s="14" t="e">
        <f t="shared" si="48"/>
        <v>#DIV/0!</v>
      </c>
    </row>
    <row r="666" spans="1:6" ht="18" customHeight="1">
      <c r="A666" s="229" t="s">
        <v>1419</v>
      </c>
      <c r="B666" s="230"/>
      <c r="C666" s="4">
        <v>43000</v>
      </c>
      <c r="D666" s="4">
        <v>43000</v>
      </c>
      <c r="E666" s="14">
        <v>0</v>
      </c>
      <c r="F666" s="14">
        <f t="shared" si="48"/>
        <v>0</v>
      </c>
    </row>
    <row r="667" spans="1:6" ht="21" customHeight="1">
      <c r="A667" s="39">
        <v>42</v>
      </c>
      <c r="B667" s="3" t="s">
        <v>83</v>
      </c>
      <c r="C667" s="4">
        <v>43000</v>
      </c>
      <c r="D667" s="4">
        <v>43000</v>
      </c>
      <c r="E667" s="14">
        <f>E668</f>
        <v>0</v>
      </c>
      <c r="F667" s="14">
        <f t="shared" si="48"/>
        <v>0</v>
      </c>
    </row>
    <row r="668" spans="1:6" ht="18" customHeight="1">
      <c r="A668" s="39" t="s">
        <v>169</v>
      </c>
      <c r="B668" s="3" t="s">
        <v>84</v>
      </c>
      <c r="C668" s="4">
        <v>0</v>
      </c>
      <c r="D668" s="4">
        <v>0</v>
      </c>
      <c r="E668" s="14">
        <f>E669</f>
        <v>0</v>
      </c>
      <c r="F668" s="14" t="e">
        <f t="shared" si="48"/>
        <v>#DIV/0!</v>
      </c>
    </row>
    <row r="669" spans="1:6" ht="15" customHeight="1">
      <c r="A669" s="39" t="s">
        <v>170</v>
      </c>
      <c r="B669" s="3" t="s">
        <v>171</v>
      </c>
      <c r="C669" s="4">
        <v>0</v>
      </c>
      <c r="D669" s="4">
        <v>0</v>
      </c>
      <c r="E669" s="14">
        <v>0</v>
      </c>
      <c r="F669" s="14" t="e">
        <f t="shared" si="48"/>
        <v>#DIV/0!</v>
      </c>
    </row>
    <row r="670" spans="1:6" ht="25.5" customHeight="1">
      <c r="A670" s="237" t="s">
        <v>1075</v>
      </c>
      <c r="B670" s="238"/>
      <c r="C670" s="5">
        <f>C678</f>
        <v>15000</v>
      </c>
      <c r="D670" s="5">
        <f>D678</f>
        <v>15000</v>
      </c>
      <c r="E670" s="132">
        <f>E678</f>
        <v>0</v>
      </c>
      <c r="F670" s="14">
        <f>E670/D670*100</f>
        <v>0</v>
      </c>
    </row>
    <row r="671" spans="1:6" ht="25.5" customHeight="1">
      <c r="A671" s="233" t="s">
        <v>1076</v>
      </c>
      <c r="B671" s="234"/>
      <c r="C671" s="62">
        <f>SUM(C672:C677)</f>
        <v>15000</v>
      </c>
      <c r="D671" s="62">
        <f>SUM(D672:D677)</f>
        <v>15000</v>
      </c>
      <c r="E671" s="130">
        <f>SUM(E672:E677)</f>
        <v>0</v>
      </c>
      <c r="F671" s="14">
        <f aca="true" t="shared" si="49" ref="F671:F677">E671/D671*100</f>
        <v>0</v>
      </c>
    </row>
    <row r="672" spans="1:6" ht="18" customHeight="1">
      <c r="A672" s="229" t="s">
        <v>1025</v>
      </c>
      <c r="B672" s="230"/>
      <c r="C672" s="4">
        <v>15000</v>
      </c>
      <c r="D672" s="4">
        <v>15000</v>
      </c>
      <c r="E672" s="14">
        <v>0</v>
      </c>
      <c r="F672" s="14">
        <f t="shared" si="49"/>
        <v>0</v>
      </c>
    </row>
    <row r="673" spans="1:6" ht="18" customHeight="1">
      <c r="A673" s="229" t="s">
        <v>1227</v>
      </c>
      <c r="B673" s="230"/>
      <c r="C673" s="4">
        <v>0</v>
      </c>
      <c r="D673" s="4">
        <v>0</v>
      </c>
      <c r="E673" s="14">
        <v>0</v>
      </c>
      <c r="F673" s="14" t="e">
        <f t="shared" si="49"/>
        <v>#DIV/0!</v>
      </c>
    </row>
    <row r="674" spans="1:6" ht="18" customHeight="1">
      <c r="A674" s="229" t="s">
        <v>1231</v>
      </c>
      <c r="B674" s="230"/>
      <c r="C674" s="4">
        <v>0</v>
      </c>
      <c r="D674" s="4">
        <v>0</v>
      </c>
      <c r="E674" s="14">
        <v>0</v>
      </c>
      <c r="F674" s="14" t="e">
        <f t="shared" si="49"/>
        <v>#DIV/0!</v>
      </c>
    </row>
    <row r="675" spans="1:6" ht="18" customHeight="1">
      <c r="A675" s="229" t="s">
        <v>1228</v>
      </c>
      <c r="B675" s="230"/>
      <c r="C675" s="4">
        <v>0</v>
      </c>
      <c r="D675" s="4">
        <v>0</v>
      </c>
      <c r="E675" s="14">
        <v>0</v>
      </c>
      <c r="F675" s="14" t="e">
        <f t="shared" si="49"/>
        <v>#DIV/0!</v>
      </c>
    </row>
    <row r="676" spans="1:6" ht="18" customHeight="1">
      <c r="A676" s="229" t="s">
        <v>1229</v>
      </c>
      <c r="B676" s="230"/>
      <c r="C676" s="4">
        <v>0</v>
      </c>
      <c r="D676" s="4">
        <v>0</v>
      </c>
      <c r="E676" s="14">
        <v>0</v>
      </c>
      <c r="F676" s="14" t="e">
        <f t="shared" si="49"/>
        <v>#DIV/0!</v>
      </c>
    </row>
    <row r="677" spans="1:6" ht="18" customHeight="1">
      <c r="A677" s="229" t="s">
        <v>1234</v>
      </c>
      <c r="B677" s="230"/>
      <c r="C677" s="4">
        <v>0</v>
      </c>
      <c r="D677" s="4">
        <v>0</v>
      </c>
      <c r="E677" s="14">
        <v>0</v>
      </c>
      <c r="F677" s="14" t="e">
        <f t="shared" si="49"/>
        <v>#DIV/0!</v>
      </c>
    </row>
    <row r="678" spans="1:6" ht="21" customHeight="1">
      <c r="A678" s="39">
        <v>42</v>
      </c>
      <c r="B678" s="3" t="s">
        <v>83</v>
      </c>
      <c r="C678" s="4">
        <v>15000</v>
      </c>
      <c r="D678" s="4">
        <v>15000</v>
      </c>
      <c r="E678" s="14">
        <f>E679</f>
        <v>0</v>
      </c>
      <c r="F678" s="14">
        <f aca="true" t="shared" si="50" ref="F678:F693">E678/D678*100</f>
        <v>0</v>
      </c>
    </row>
    <row r="679" spans="1:6" ht="18" customHeight="1">
      <c r="A679" s="39" t="s">
        <v>166</v>
      </c>
      <c r="B679" s="3" t="s">
        <v>167</v>
      </c>
      <c r="C679" s="4">
        <v>0</v>
      </c>
      <c r="D679" s="4">
        <v>0</v>
      </c>
      <c r="E679" s="14">
        <f>E680</f>
        <v>0</v>
      </c>
      <c r="F679" s="14" t="e">
        <f t="shared" si="50"/>
        <v>#DIV/0!</v>
      </c>
    </row>
    <row r="680" spans="1:6" ht="15" customHeight="1">
      <c r="A680" s="39" t="s">
        <v>168</v>
      </c>
      <c r="B680" s="3" t="s">
        <v>743</v>
      </c>
      <c r="C680" s="4">
        <v>0</v>
      </c>
      <c r="D680" s="4">
        <v>0</v>
      </c>
      <c r="E680" s="14">
        <v>0</v>
      </c>
      <c r="F680" s="14" t="e">
        <f t="shared" si="50"/>
        <v>#DIV/0!</v>
      </c>
    </row>
    <row r="681" spans="1:6" ht="30" customHeight="1">
      <c r="A681" s="235" t="s">
        <v>944</v>
      </c>
      <c r="B681" s="236"/>
      <c r="C681" s="61">
        <f>C682+C693+C704+C715</f>
        <v>1080000</v>
      </c>
      <c r="D681" s="61">
        <f>D682+D693+D704+D715</f>
        <v>1080000</v>
      </c>
      <c r="E681" s="129">
        <f>E682+E693+E704+E715</f>
        <v>265905.63</v>
      </c>
      <c r="F681" s="14">
        <f t="shared" si="50"/>
        <v>24.620891666666665</v>
      </c>
    </row>
    <row r="682" spans="1:6" ht="25.5" customHeight="1">
      <c r="A682" s="237" t="s">
        <v>945</v>
      </c>
      <c r="B682" s="238"/>
      <c r="C682" s="5">
        <f>C690</f>
        <v>0</v>
      </c>
      <c r="D682" s="5">
        <f>D690</f>
        <v>0</v>
      </c>
      <c r="E682" s="132">
        <f>E690</f>
        <v>0</v>
      </c>
      <c r="F682" s="14" t="e">
        <f t="shared" si="50"/>
        <v>#DIV/0!</v>
      </c>
    </row>
    <row r="683" spans="1:6" ht="25.5" customHeight="1">
      <c r="A683" s="233" t="s">
        <v>1078</v>
      </c>
      <c r="B683" s="234"/>
      <c r="C683" s="62">
        <f>SUM(C684:C689)</f>
        <v>0</v>
      </c>
      <c r="D683" s="62">
        <f>SUM(D684:D689)</f>
        <v>0</v>
      </c>
      <c r="E683" s="130">
        <f>SUM(E684:E689)</f>
        <v>0</v>
      </c>
      <c r="F683" s="14" t="e">
        <f t="shared" si="50"/>
        <v>#DIV/0!</v>
      </c>
    </row>
    <row r="684" spans="1:6" ht="18" customHeight="1">
      <c r="A684" s="229" t="s">
        <v>1025</v>
      </c>
      <c r="B684" s="230"/>
      <c r="C684" s="4">
        <v>0</v>
      </c>
      <c r="D684" s="4">
        <v>0</v>
      </c>
      <c r="E684" s="14">
        <v>0</v>
      </c>
      <c r="F684" s="14" t="e">
        <f t="shared" si="50"/>
        <v>#DIV/0!</v>
      </c>
    </row>
    <row r="685" spans="1:6" ht="18" customHeight="1">
      <c r="A685" s="229" t="s">
        <v>1227</v>
      </c>
      <c r="B685" s="230"/>
      <c r="C685" s="4">
        <v>0</v>
      </c>
      <c r="D685" s="4">
        <v>0</v>
      </c>
      <c r="E685" s="14">
        <v>0</v>
      </c>
      <c r="F685" s="14" t="e">
        <f t="shared" si="50"/>
        <v>#DIV/0!</v>
      </c>
    </row>
    <row r="686" spans="1:6" ht="18" customHeight="1">
      <c r="A686" s="229" t="s">
        <v>1231</v>
      </c>
      <c r="B686" s="230"/>
      <c r="C686" s="4">
        <v>0</v>
      </c>
      <c r="D686" s="4">
        <v>0</v>
      </c>
      <c r="E686" s="14">
        <v>0</v>
      </c>
      <c r="F686" s="14" t="e">
        <f t="shared" si="50"/>
        <v>#DIV/0!</v>
      </c>
    </row>
    <row r="687" spans="1:6" ht="18" customHeight="1">
      <c r="A687" s="229" t="s">
        <v>1228</v>
      </c>
      <c r="B687" s="230"/>
      <c r="C687" s="4">
        <v>0</v>
      </c>
      <c r="D687" s="4">
        <v>0</v>
      </c>
      <c r="E687" s="14">
        <v>0</v>
      </c>
      <c r="F687" s="14" t="e">
        <f t="shared" si="50"/>
        <v>#DIV/0!</v>
      </c>
    </row>
    <row r="688" spans="1:6" ht="18" customHeight="1">
      <c r="A688" s="229" t="s">
        <v>1229</v>
      </c>
      <c r="B688" s="230"/>
      <c r="C688" s="4">
        <v>0</v>
      </c>
      <c r="D688" s="4">
        <v>0</v>
      </c>
      <c r="E688" s="14">
        <v>0</v>
      </c>
      <c r="F688" s="14" t="e">
        <f t="shared" si="50"/>
        <v>#DIV/0!</v>
      </c>
    </row>
    <row r="689" spans="1:6" ht="18" customHeight="1">
      <c r="A689" s="229" t="s">
        <v>1260</v>
      </c>
      <c r="B689" s="230"/>
      <c r="C689" s="4">
        <v>0</v>
      </c>
      <c r="D689" s="4">
        <v>0</v>
      </c>
      <c r="E689" s="14">
        <v>0</v>
      </c>
      <c r="F689" s="14" t="e">
        <f t="shared" si="50"/>
        <v>#DIV/0!</v>
      </c>
    </row>
    <row r="690" spans="1:6" ht="21" customHeight="1">
      <c r="A690" s="39">
        <v>41</v>
      </c>
      <c r="B690" s="3" t="s">
        <v>81</v>
      </c>
      <c r="C690" s="4">
        <f aca="true" t="shared" si="51" ref="C690:E691">C691</f>
        <v>0</v>
      </c>
      <c r="D690" s="4">
        <f t="shared" si="51"/>
        <v>0</v>
      </c>
      <c r="E690" s="14">
        <f t="shared" si="51"/>
        <v>0</v>
      </c>
      <c r="F690" s="14" t="e">
        <f t="shared" si="50"/>
        <v>#DIV/0!</v>
      </c>
    </row>
    <row r="691" spans="1:6" ht="18" customHeight="1">
      <c r="A691" s="39">
        <v>411</v>
      </c>
      <c r="B691" s="3" t="s">
        <v>82</v>
      </c>
      <c r="C691" s="4">
        <v>0</v>
      </c>
      <c r="D691" s="4">
        <v>0</v>
      </c>
      <c r="E691" s="14">
        <f t="shared" si="51"/>
        <v>0</v>
      </c>
      <c r="F691" s="14" t="e">
        <f t="shared" si="50"/>
        <v>#DIV/0!</v>
      </c>
    </row>
    <row r="692" spans="1:6" ht="15" customHeight="1">
      <c r="A692" s="39">
        <v>4111</v>
      </c>
      <c r="B692" s="3" t="s">
        <v>338</v>
      </c>
      <c r="C692" s="73">
        <v>0</v>
      </c>
      <c r="D692" s="73">
        <v>0</v>
      </c>
      <c r="E692" s="133">
        <v>0</v>
      </c>
      <c r="F692" s="14" t="e">
        <f t="shared" si="50"/>
        <v>#DIV/0!</v>
      </c>
    </row>
    <row r="693" spans="1:6" ht="25.5" customHeight="1">
      <c r="A693" s="237" t="s">
        <v>946</v>
      </c>
      <c r="B693" s="238"/>
      <c r="C693" s="5">
        <f>C701</f>
        <v>40000</v>
      </c>
      <c r="D693" s="5">
        <f>D701</f>
        <v>40000</v>
      </c>
      <c r="E693" s="132">
        <f>E701</f>
        <v>0</v>
      </c>
      <c r="F693" s="14">
        <f t="shared" si="50"/>
        <v>0</v>
      </c>
    </row>
    <row r="694" spans="1:6" ht="25.5" customHeight="1">
      <c r="A694" s="233" t="s">
        <v>1079</v>
      </c>
      <c r="B694" s="234"/>
      <c r="C694" s="62">
        <f>SUM(C695:C700)</f>
        <v>40000</v>
      </c>
      <c r="D694" s="62">
        <f>SUM(D695:D700)</f>
        <v>40000</v>
      </c>
      <c r="E694" s="130">
        <f>SUM(E695:E700)</f>
        <v>0</v>
      </c>
      <c r="F694" s="14">
        <f aca="true" t="shared" si="52" ref="F694:F700">E694/D694*100</f>
        <v>0</v>
      </c>
    </row>
    <row r="695" spans="1:6" ht="18" customHeight="1">
      <c r="A695" s="229" t="s">
        <v>1025</v>
      </c>
      <c r="B695" s="230"/>
      <c r="C695" s="4">
        <v>40000</v>
      </c>
      <c r="D695" s="4">
        <v>40000</v>
      </c>
      <c r="E695" s="14">
        <v>0</v>
      </c>
      <c r="F695" s="14">
        <f t="shared" si="52"/>
        <v>0</v>
      </c>
    </row>
    <row r="696" spans="1:6" ht="18" customHeight="1">
      <c r="A696" s="229" t="s">
        <v>1227</v>
      </c>
      <c r="B696" s="230"/>
      <c r="C696" s="4">
        <v>0</v>
      </c>
      <c r="D696" s="4">
        <v>0</v>
      </c>
      <c r="E696" s="14">
        <v>0</v>
      </c>
      <c r="F696" s="14" t="e">
        <f t="shared" si="52"/>
        <v>#DIV/0!</v>
      </c>
    </row>
    <row r="697" spans="1:6" ht="18" customHeight="1">
      <c r="A697" s="229" t="s">
        <v>1231</v>
      </c>
      <c r="B697" s="230"/>
      <c r="C697" s="4">
        <v>0</v>
      </c>
      <c r="D697" s="4">
        <v>0</v>
      </c>
      <c r="E697" s="14">
        <v>0</v>
      </c>
      <c r="F697" s="14" t="e">
        <f t="shared" si="52"/>
        <v>#DIV/0!</v>
      </c>
    </row>
    <row r="698" spans="1:6" ht="18" customHeight="1">
      <c r="A698" s="229" t="s">
        <v>1228</v>
      </c>
      <c r="B698" s="230"/>
      <c r="C698" s="4">
        <v>0</v>
      </c>
      <c r="D698" s="4">
        <v>0</v>
      </c>
      <c r="E698" s="14">
        <v>0</v>
      </c>
      <c r="F698" s="14" t="e">
        <f t="shared" si="52"/>
        <v>#DIV/0!</v>
      </c>
    </row>
    <row r="699" spans="1:6" ht="18" customHeight="1">
      <c r="A699" s="229" t="s">
        <v>1229</v>
      </c>
      <c r="B699" s="230"/>
      <c r="C699" s="4">
        <v>0</v>
      </c>
      <c r="D699" s="4">
        <v>0</v>
      </c>
      <c r="E699" s="14">
        <v>0</v>
      </c>
      <c r="F699" s="14" t="e">
        <f t="shared" si="52"/>
        <v>#DIV/0!</v>
      </c>
    </row>
    <row r="700" spans="1:6" ht="18" customHeight="1">
      <c r="A700" s="229" t="s">
        <v>1234</v>
      </c>
      <c r="B700" s="230"/>
      <c r="C700" s="4">
        <v>0</v>
      </c>
      <c r="D700" s="4">
        <v>0</v>
      </c>
      <c r="E700" s="14">
        <v>0</v>
      </c>
      <c r="F700" s="14" t="e">
        <f t="shared" si="52"/>
        <v>#DIV/0!</v>
      </c>
    </row>
    <row r="701" spans="1:6" ht="21" customHeight="1">
      <c r="A701" s="39">
        <v>42</v>
      </c>
      <c r="B701" s="3" t="s">
        <v>610</v>
      </c>
      <c r="C701" s="4">
        <v>40000</v>
      </c>
      <c r="D701" s="4">
        <v>40000</v>
      </c>
      <c r="E701" s="14">
        <f>E702</f>
        <v>0</v>
      </c>
      <c r="F701" s="14">
        <f>E701/D701*100</f>
        <v>0</v>
      </c>
    </row>
    <row r="702" spans="1:6" ht="18" customHeight="1">
      <c r="A702" s="39" t="s">
        <v>169</v>
      </c>
      <c r="B702" s="3" t="s">
        <v>84</v>
      </c>
      <c r="C702" s="4">
        <v>0</v>
      </c>
      <c r="D702" s="4">
        <v>0</v>
      </c>
      <c r="E702" s="14">
        <f>E703</f>
        <v>0</v>
      </c>
      <c r="F702" s="14" t="e">
        <f>E702/D702*100</f>
        <v>#DIV/0!</v>
      </c>
    </row>
    <row r="703" spans="1:6" ht="15" customHeight="1">
      <c r="A703" s="39" t="s">
        <v>297</v>
      </c>
      <c r="B703" s="3" t="s">
        <v>298</v>
      </c>
      <c r="C703" s="4">
        <v>0</v>
      </c>
      <c r="D703" s="4">
        <v>0</v>
      </c>
      <c r="E703" s="14">
        <v>0</v>
      </c>
      <c r="F703" s="14" t="e">
        <f>E703/D703*100</f>
        <v>#DIV/0!</v>
      </c>
    </row>
    <row r="704" spans="1:6" ht="25.5" customHeight="1">
      <c r="A704" s="239" t="s">
        <v>947</v>
      </c>
      <c r="B704" s="240"/>
      <c r="C704" s="5">
        <f>C712</f>
        <v>40000</v>
      </c>
      <c r="D704" s="5">
        <f>D712</f>
        <v>40000</v>
      </c>
      <c r="E704" s="132">
        <f>E712</f>
        <v>8291.13</v>
      </c>
      <c r="F704" s="14">
        <f>E704/D704*100</f>
        <v>20.727824999999996</v>
      </c>
    </row>
    <row r="705" spans="1:6" ht="25.5" customHeight="1">
      <c r="A705" s="233" t="s">
        <v>1080</v>
      </c>
      <c r="B705" s="234"/>
      <c r="C705" s="62">
        <f>SUM(C706:C711)</f>
        <v>40000</v>
      </c>
      <c r="D705" s="62">
        <f>SUM(D706:D711)</f>
        <v>40000</v>
      </c>
      <c r="E705" s="130">
        <f>SUM(E706:E711)</f>
        <v>8291.13</v>
      </c>
      <c r="F705" s="14">
        <f aca="true" t="shared" si="53" ref="F705:F711">E705/D705*100</f>
        <v>20.727824999999996</v>
      </c>
    </row>
    <row r="706" spans="1:6" ht="18" customHeight="1">
      <c r="A706" s="229" t="s">
        <v>1025</v>
      </c>
      <c r="B706" s="230"/>
      <c r="C706" s="4">
        <v>40000</v>
      </c>
      <c r="D706" s="4">
        <v>40000</v>
      </c>
      <c r="E706" s="14">
        <v>0</v>
      </c>
      <c r="F706" s="14">
        <f t="shared" si="53"/>
        <v>0</v>
      </c>
    </row>
    <row r="707" spans="1:6" ht="18" customHeight="1">
      <c r="A707" s="229" t="s">
        <v>1227</v>
      </c>
      <c r="B707" s="230"/>
      <c r="C707" s="4">
        <v>0</v>
      </c>
      <c r="D707" s="4">
        <v>0</v>
      </c>
      <c r="E707" s="14">
        <v>0</v>
      </c>
      <c r="F707" s="14" t="e">
        <f t="shared" si="53"/>
        <v>#DIV/0!</v>
      </c>
    </row>
    <row r="708" spans="1:6" ht="18" customHeight="1">
      <c r="A708" s="229" t="s">
        <v>1231</v>
      </c>
      <c r="B708" s="230"/>
      <c r="C708" s="4">
        <v>0</v>
      </c>
      <c r="D708" s="4">
        <v>0</v>
      </c>
      <c r="E708" s="14">
        <v>8291.13</v>
      </c>
      <c r="F708" s="14" t="e">
        <f t="shared" si="53"/>
        <v>#DIV/0!</v>
      </c>
    </row>
    <row r="709" spans="1:6" ht="18" customHeight="1">
      <c r="A709" s="229" t="s">
        <v>1228</v>
      </c>
      <c r="B709" s="230"/>
      <c r="C709" s="4">
        <v>0</v>
      </c>
      <c r="D709" s="4">
        <v>0</v>
      </c>
      <c r="E709" s="14">
        <v>0</v>
      </c>
      <c r="F709" s="14" t="e">
        <f t="shared" si="53"/>
        <v>#DIV/0!</v>
      </c>
    </row>
    <row r="710" spans="1:6" ht="18" customHeight="1">
      <c r="A710" s="229" t="s">
        <v>1229</v>
      </c>
      <c r="B710" s="230"/>
      <c r="C710" s="4">
        <v>0</v>
      </c>
      <c r="D710" s="4">
        <v>0</v>
      </c>
      <c r="E710" s="14">
        <v>0</v>
      </c>
      <c r="F710" s="14" t="e">
        <f t="shared" si="53"/>
        <v>#DIV/0!</v>
      </c>
    </row>
    <row r="711" spans="1:6" ht="18" customHeight="1">
      <c r="A711" s="229" t="s">
        <v>1234</v>
      </c>
      <c r="B711" s="230"/>
      <c r="C711" s="4">
        <v>0</v>
      </c>
      <c r="D711" s="4">
        <v>0</v>
      </c>
      <c r="E711" s="14">
        <v>0</v>
      </c>
      <c r="F711" s="14" t="e">
        <f t="shared" si="53"/>
        <v>#DIV/0!</v>
      </c>
    </row>
    <row r="712" spans="1:6" ht="21" customHeight="1">
      <c r="A712" s="39">
        <v>32</v>
      </c>
      <c r="B712" s="3" t="s">
        <v>63</v>
      </c>
      <c r="C712" s="4">
        <v>40000</v>
      </c>
      <c r="D712" s="4">
        <v>40000</v>
      </c>
      <c r="E712" s="14">
        <f>E713</f>
        <v>8291.13</v>
      </c>
      <c r="F712" s="14">
        <f>E712/D712*100</f>
        <v>20.727824999999996</v>
      </c>
    </row>
    <row r="713" spans="1:6" ht="18" customHeight="1">
      <c r="A713" s="39">
        <v>323</v>
      </c>
      <c r="B713" s="3" t="s">
        <v>0</v>
      </c>
      <c r="C713" s="4">
        <v>0</v>
      </c>
      <c r="D713" s="4">
        <v>0</v>
      </c>
      <c r="E713" s="14">
        <f>SUM(E714:E714)</f>
        <v>8291.13</v>
      </c>
      <c r="F713" s="14" t="e">
        <f>E713/D713*100</f>
        <v>#DIV/0!</v>
      </c>
    </row>
    <row r="714" spans="1:6" ht="15" customHeight="1">
      <c r="A714" s="39">
        <v>3232</v>
      </c>
      <c r="B714" s="3" t="s">
        <v>557</v>
      </c>
      <c r="C714" s="4">
        <v>0</v>
      </c>
      <c r="D714" s="4">
        <v>0</v>
      </c>
      <c r="E714" s="14">
        <v>8291.13</v>
      </c>
      <c r="F714" s="14" t="e">
        <f>E714/D714*100</f>
        <v>#DIV/0!</v>
      </c>
    </row>
    <row r="715" spans="1:6" ht="25.5" customHeight="1">
      <c r="A715" s="239" t="s">
        <v>1374</v>
      </c>
      <c r="B715" s="240"/>
      <c r="C715" s="5">
        <f>C723</f>
        <v>1000000</v>
      </c>
      <c r="D715" s="5">
        <f>D723</f>
        <v>1000000</v>
      </c>
      <c r="E715" s="132">
        <f>E723</f>
        <v>257614.5</v>
      </c>
      <c r="F715" s="14">
        <f>E715/D715*100</f>
        <v>25.761450000000004</v>
      </c>
    </row>
    <row r="716" spans="1:6" ht="25.5" customHeight="1">
      <c r="A716" s="233" t="s">
        <v>1375</v>
      </c>
      <c r="B716" s="234"/>
      <c r="C716" s="62">
        <f>SUM(C717:C722)</f>
        <v>1000000</v>
      </c>
      <c r="D716" s="62">
        <f>SUM(D717:D722)</f>
        <v>1000000</v>
      </c>
      <c r="E716" s="130">
        <f>SUM(E717:E722)</f>
        <v>257614.5</v>
      </c>
      <c r="F716" s="14">
        <f aca="true" t="shared" si="54" ref="F716:F725">E716/D716*100</f>
        <v>25.761450000000004</v>
      </c>
    </row>
    <row r="717" spans="1:6" ht="18" customHeight="1">
      <c r="A717" s="229" t="s">
        <v>1025</v>
      </c>
      <c r="B717" s="230"/>
      <c r="C717" s="4">
        <v>0</v>
      </c>
      <c r="D717" s="4">
        <v>0</v>
      </c>
      <c r="E717" s="14">
        <v>257614.5</v>
      </c>
      <c r="F717" s="14" t="e">
        <f t="shared" si="54"/>
        <v>#DIV/0!</v>
      </c>
    </row>
    <row r="718" spans="1:6" ht="18" customHeight="1">
      <c r="A718" s="229" t="s">
        <v>1227</v>
      </c>
      <c r="B718" s="230"/>
      <c r="C718" s="4">
        <v>0</v>
      </c>
      <c r="D718" s="4">
        <v>0</v>
      </c>
      <c r="E718" s="14">
        <v>0</v>
      </c>
      <c r="F718" s="14" t="e">
        <f t="shared" si="54"/>
        <v>#DIV/0!</v>
      </c>
    </row>
    <row r="719" spans="1:6" ht="18" customHeight="1">
      <c r="A719" s="229" t="s">
        <v>1231</v>
      </c>
      <c r="B719" s="230"/>
      <c r="C719" s="4">
        <v>0</v>
      </c>
      <c r="D719" s="4">
        <v>0</v>
      </c>
      <c r="E719" s="14">
        <v>0</v>
      </c>
      <c r="F719" s="14" t="e">
        <f t="shared" si="54"/>
        <v>#DIV/0!</v>
      </c>
    </row>
    <row r="720" spans="1:6" ht="18" customHeight="1">
      <c r="A720" s="229" t="s">
        <v>1228</v>
      </c>
      <c r="B720" s="230"/>
      <c r="C720" s="4">
        <v>0</v>
      </c>
      <c r="D720" s="4">
        <v>0</v>
      </c>
      <c r="E720" s="14">
        <v>0</v>
      </c>
      <c r="F720" s="14" t="e">
        <f t="shared" si="54"/>
        <v>#DIV/0!</v>
      </c>
    </row>
    <row r="721" spans="1:6" ht="18" customHeight="1">
      <c r="A721" s="229" t="s">
        <v>1229</v>
      </c>
      <c r="B721" s="230"/>
      <c r="C721" s="4">
        <v>0</v>
      </c>
      <c r="D721" s="4">
        <v>0</v>
      </c>
      <c r="E721" s="14">
        <v>0</v>
      </c>
      <c r="F721" s="14" t="e">
        <f t="shared" si="54"/>
        <v>#DIV/0!</v>
      </c>
    </row>
    <row r="722" spans="1:6" ht="18" customHeight="1">
      <c r="A722" s="229" t="s">
        <v>1419</v>
      </c>
      <c r="B722" s="230"/>
      <c r="C722" s="4">
        <v>1000000</v>
      </c>
      <c r="D722" s="4">
        <v>1000000</v>
      </c>
      <c r="E722" s="14">
        <v>0</v>
      </c>
      <c r="F722" s="14">
        <f t="shared" si="54"/>
        <v>0</v>
      </c>
    </row>
    <row r="723" spans="1:6" ht="21" customHeight="1">
      <c r="A723" s="39">
        <v>38</v>
      </c>
      <c r="B723" s="70" t="s">
        <v>556</v>
      </c>
      <c r="C723" s="4">
        <v>1000000</v>
      </c>
      <c r="D723" s="4">
        <v>1000000</v>
      </c>
      <c r="E723" s="14">
        <f>E724</f>
        <v>257614.5</v>
      </c>
      <c r="F723" s="14">
        <f t="shared" si="54"/>
        <v>25.761450000000004</v>
      </c>
    </row>
    <row r="724" spans="1:6" ht="18" customHeight="1">
      <c r="A724" s="39">
        <v>386</v>
      </c>
      <c r="B724" s="3" t="s">
        <v>85</v>
      </c>
      <c r="C724" s="4">
        <v>0</v>
      </c>
      <c r="D724" s="4">
        <v>0</v>
      </c>
      <c r="E724" s="14">
        <f>E725</f>
        <v>257614.5</v>
      </c>
      <c r="F724" s="14" t="e">
        <f t="shared" si="54"/>
        <v>#DIV/0!</v>
      </c>
    </row>
    <row r="725" spans="1:6" ht="15" customHeight="1">
      <c r="A725" s="39">
        <v>3861</v>
      </c>
      <c r="B725" s="3" t="s">
        <v>614</v>
      </c>
      <c r="C725" s="4">
        <v>0</v>
      </c>
      <c r="D725" s="4">
        <v>0</v>
      </c>
      <c r="E725" s="14">
        <v>257614.5</v>
      </c>
      <c r="F725" s="14" t="e">
        <f t="shared" si="54"/>
        <v>#DIV/0!</v>
      </c>
    </row>
    <row r="726" spans="1:6" ht="30" customHeight="1">
      <c r="A726" s="235" t="s">
        <v>948</v>
      </c>
      <c r="B726" s="236"/>
      <c r="C726" s="61">
        <f>C727+C742+C756</f>
        <v>316250</v>
      </c>
      <c r="D726" s="61">
        <f>D727+D742+D756</f>
        <v>316250</v>
      </c>
      <c r="E726" s="129">
        <f>E727+E742+E756</f>
        <v>106644.73999999999</v>
      </c>
      <c r="F726" s="14">
        <f aca="true" t="shared" si="55" ref="F726:F742">E726/D726*100</f>
        <v>33.72165691699605</v>
      </c>
    </row>
    <row r="727" spans="1:6" ht="25.5" customHeight="1">
      <c r="A727" s="239" t="s">
        <v>949</v>
      </c>
      <c r="B727" s="240"/>
      <c r="C727" s="5">
        <f>C735</f>
        <v>225000</v>
      </c>
      <c r="D727" s="5">
        <f>D735</f>
        <v>225000</v>
      </c>
      <c r="E727" s="132">
        <f>E735</f>
        <v>81694.28</v>
      </c>
      <c r="F727" s="14">
        <f t="shared" si="55"/>
        <v>36.308568888888885</v>
      </c>
    </row>
    <row r="728" spans="1:6" ht="25.5" customHeight="1">
      <c r="A728" s="233" t="s">
        <v>1081</v>
      </c>
      <c r="B728" s="234"/>
      <c r="C728" s="62">
        <f>SUM(C729:C734)</f>
        <v>225000</v>
      </c>
      <c r="D728" s="62">
        <f>SUM(D729:D734)</f>
        <v>225000</v>
      </c>
      <c r="E728" s="130">
        <f>SUM(E729:E734)</f>
        <v>81694.28</v>
      </c>
      <c r="F728" s="14">
        <f t="shared" si="55"/>
        <v>36.308568888888885</v>
      </c>
    </row>
    <row r="729" spans="1:6" ht="18" customHeight="1">
      <c r="A729" s="229" t="s">
        <v>1025</v>
      </c>
      <c r="B729" s="230"/>
      <c r="C729" s="4">
        <v>0</v>
      </c>
      <c r="D729" s="4">
        <v>0</v>
      </c>
      <c r="E729" s="14">
        <v>0</v>
      </c>
      <c r="F729" s="14" t="e">
        <f t="shared" si="55"/>
        <v>#DIV/0!</v>
      </c>
    </row>
    <row r="730" spans="1:6" ht="18" customHeight="1">
      <c r="A730" s="229" t="s">
        <v>1227</v>
      </c>
      <c r="B730" s="230"/>
      <c r="C730" s="4">
        <v>0</v>
      </c>
      <c r="D730" s="4">
        <v>0</v>
      </c>
      <c r="E730" s="14">
        <v>0</v>
      </c>
      <c r="F730" s="14" t="e">
        <f t="shared" si="55"/>
        <v>#DIV/0!</v>
      </c>
    </row>
    <row r="731" spans="1:6" ht="18" customHeight="1">
      <c r="A731" s="229" t="s">
        <v>1231</v>
      </c>
      <c r="B731" s="230"/>
      <c r="C731" s="4">
        <v>205000</v>
      </c>
      <c r="D731" s="4">
        <v>205000</v>
      </c>
      <c r="E731" s="14">
        <v>81694.28</v>
      </c>
      <c r="F731" s="14">
        <f t="shared" si="55"/>
        <v>39.850868292682925</v>
      </c>
    </row>
    <row r="732" spans="1:6" ht="18" customHeight="1">
      <c r="A732" s="229" t="s">
        <v>1228</v>
      </c>
      <c r="B732" s="230"/>
      <c r="C732" s="4">
        <v>0</v>
      </c>
      <c r="D732" s="4">
        <v>0</v>
      </c>
      <c r="E732" s="14">
        <v>0</v>
      </c>
      <c r="F732" s="14" t="e">
        <f t="shared" si="55"/>
        <v>#DIV/0!</v>
      </c>
    </row>
    <row r="733" spans="1:6" ht="18" customHeight="1">
      <c r="A733" s="229" t="s">
        <v>1229</v>
      </c>
      <c r="B733" s="230"/>
      <c r="C733" s="4">
        <v>0</v>
      </c>
      <c r="D733" s="4">
        <v>0</v>
      </c>
      <c r="E733" s="14">
        <v>0</v>
      </c>
      <c r="F733" s="14" t="e">
        <f t="shared" si="55"/>
        <v>#DIV/0!</v>
      </c>
    </row>
    <row r="734" spans="1:6" ht="18" customHeight="1">
      <c r="A734" s="229" t="s">
        <v>1419</v>
      </c>
      <c r="B734" s="230"/>
      <c r="C734" s="4">
        <v>20000</v>
      </c>
      <c r="D734" s="4">
        <v>20000</v>
      </c>
      <c r="E734" s="14">
        <v>0</v>
      </c>
      <c r="F734" s="14">
        <f t="shared" si="55"/>
        <v>0</v>
      </c>
    </row>
    <row r="735" spans="1:6" ht="21" customHeight="1">
      <c r="A735" s="39">
        <v>32</v>
      </c>
      <c r="B735" s="3" t="s">
        <v>63</v>
      </c>
      <c r="C735" s="4">
        <v>225000</v>
      </c>
      <c r="D735" s="4">
        <v>225000</v>
      </c>
      <c r="E735" s="14">
        <f>E736+E739</f>
        <v>81694.28</v>
      </c>
      <c r="F735" s="14">
        <f t="shared" si="55"/>
        <v>36.308568888888885</v>
      </c>
    </row>
    <row r="736" spans="1:6" ht="18" customHeight="1">
      <c r="A736" s="39">
        <v>322</v>
      </c>
      <c r="B736" s="3" t="s">
        <v>70</v>
      </c>
      <c r="C736" s="4">
        <v>0</v>
      </c>
      <c r="D736" s="4">
        <v>0</v>
      </c>
      <c r="E736" s="14">
        <f>E737+E738</f>
        <v>30855.32</v>
      </c>
      <c r="F736" s="14" t="e">
        <f t="shared" si="55"/>
        <v>#DIV/0!</v>
      </c>
    </row>
    <row r="737" spans="1:6" ht="15" customHeight="1">
      <c r="A737" s="39" t="s">
        <v>272</v>
      </c>
      <c r="B737" s="3" t="s">
        <v>273</v>
      </c>
      <c r="C737" s="4">
        <v>0</v>
      </c>
      <c r="D737" s="4">
        <v>0</v>
      </c>
      <c r="E737" s="14">
        <v>20713.25</v>
      </c>
      <c r="F737" s="14" t="e">
        <f t="shared" si="55"/>
        <v>#DIV/0!</v>
      </c>
    </row>
    <row r="738" spans="1:6" ht="15" customHeight="1">
      <c r="A738" s="39">
        <v>3224</v>
      </c>
      <c r="B738" s="3" t="s">
        <v>90</v>
      </c>
      <c r="C738" s="4">
        <v>0</v>
      </c>
      <c r="D738" s="4">
        <v>0</v>
      </c>
      <c r="E738" s="14">
        <v>10142.07</v>
      </c>
      <c r="F738" s="14" t="e">
        <f t="shared" si="55"/>
        <v>#DIV/0!</v>
      </c>
    </row>
    <row r="739" spans="1:6" ht="18" customHeight="1">
      <c r="A739" s="39">
        <v>323</v>
      </c>
      <c r="B739" s="3" t="s">
        <v>0</v>
      </c>
      <c r="C739" s="4">
        <v>1110000</v>
      </c>
      <c r="D739" s="4">
        <v>1110000</v>
      </c>
      <c r="E739" s="14">
        <f>E740+E741</f>
        <v>50838.96</v>
      </c>
      <c r="F739" s="14">
        <f t="shared" si="55"/>
        <v>4.580086486486486</v>
      </c>
    </row>
    <row r="740" spans="1:6" ht="15" customHeight="1">
      <c r="A740" s="39">
        <v>3232</v>
      </c>
      <c r="B740" s="3" t="s">
        <v>91</v>
      </c>
      <c r="C740" s="4">
        <v>0</v>
      </c>
      <c r="D740" s="4">
        <v>0</v>
      </c>
      <c r="E740" s="14">
        <v>46795.21</v>
      </c>
      <c r="F740" s="14" t="e">
        <f t="shared" si="55"/>
        <v>#DIV/0!</v>
      </c>
    </row>
    <row r="741" spans="1:6" ht="15" customHeight="1">
      <c r="A741" s="39" t="s">
        <v>35</v>
      </c>
      <c r="B741" s="3" t="s">
        <v>274</v>
      </c>
      <c r="C741" s="4">
        <v>0</v>
      </c>
      <c r="D741" s="4">
        <v>0</v>
      </c>
      <c r="E741" s="14">
        <v>4043.75</v>
      </c>
      <c r="F741" s="14" t="e">
        <f t="shared" si="55"/>
        <v>#DIV/0!</v>
      </c>
    </row>
    <row r="742" spans="1:6" ht="25.5" customHeight="1">
      <c r="A742" s="265" t="s">
        <v>950</v>
      </c>
      <c r="B742" s="266"/>
      <c r="C742" s="5">
        <f>C750</f>
        <v>71250</v>
      </c>
      <c r="D742" s="5">
        <f>D750</f>
        <v>71250</v>
      </c>
      <c r="E742" s="132">
        <f>E750</f>
        <v>24950.46</v>
      </c>
      <c r="F742" s="14">
        <f t="shared" si="55"/>
        <v>35.01818947368421</v>
      </c>
    </row>
    <row r="743" spans="1:6" ht="25.5" customHeight="1">
      <c r="A743" s="233" t="s">
        <v>1082</v>
      </c>
      <c r="B743" s="234"/>
      <c r="C743" s="62">
        <f>SUM(C744:C749)</f>
        <v>71250</v>
      </c>
      <c r="D743" s="62">
        <f>SUM(D744:D749)</f>
        <v>71250</v>
      </c>
      <c r="E743" s="130">
        <f>SUM(E744:E749)</f>
        <v>24950.46</v>
      </c>
      <c r="F743" s="14">
        <f aca="true" t="shared" si="56" ref="F743:F749">E743/D743*100</f>
        <v>35.01818947368421</v>
      </c>
    </row>
    <row r="744" spans="1:6" ht="18" customHeight="1">
      <c r="A744" s="229" t="s">
        <v>1025</v>
      </c>
      <c r="B744" s="230"/>
      <c r="C744" s="4">
        <v>0</v>
      </c>
      <c r="D744" s="4">
        <v>0</v>
      </c>
      <c r="E744" s="14">
        <v>0</v>
      </c>
      <c r="F744" s="14" t="e">
        <f t="shared" si="56"/>
        <v>#DIV/0!</v>
      </c>
    </row>
    <row r="745" spans="1:6" ht="18" customHeight="1">
      <c r="A745" s="229" t="s">
        <v>1227</v>
      </c>
      <c r="B745" s="230"/>
      <c r="C745" s="4">
        <v>0</v>
      </c>
      <c r="D745" s="4">
        <v>0</v>
      </c>
      <c r="E745" s="14">
        <v>0</v>
      </c>
      <c r="F745" s="14" t="e">
        <f t="shared" si="56"/>
        <v>#DIV/0!</v>
      </c>
    </row>
    <row r="746" spans="1:6" ht="18" customHeight="1">
      <c r="A746" s="229" t="s">
        <v>1231</v>
      </c>
      <c r="B746" s="230"/>
      <c r="C746" s="4">
        <v>71250</v>
      </c>
      <c r="D746" s="4">
        <v>71250</v>
      </c>
      <c r="E746" s="14">
        <v>24950.46</v>
      </c>
      <c r="F746" s="14">
        <f t="shared" si="56"/>
        <v>35.01818947368421</v>
      </c>
    </row>
    <row r="747" spans="1:6" ht="18" customHeight="1">
      <c r="A747" s="229" t="s">
        <v>1228</v>
      </c>
      <c r="B747" s="230"/>
      <c r="C747" s="4">
        <v>0</v>
      </c>
      <c r="D747" s="4">
        <v>0</v>
      </c>
      <c r="E747" s="14">
        <v>0</v>
      </c>
      <c r="F747" s="14" t="e">
        <f t="shared" si="56"/>
        <v>#DIV/0!</v>
      </c>
    </row>
    <row r="748" spans="1:6" ht="18" customHeight="1">
      <c r="A748" s="229" t="s">
        <v>1229</v>
      </c>
      <c r="B748" s="230"/>
      <c r="C748" s="4">
        <v>0</v>
      </c>
      <c r="D748" s="4">
        <v>0</v>
      </c>
      <c r="E748" s="14">
        <v>0</v>
      </c>
      <c r="F748" s="14" t="e">
        <f t="shared" si="56"/>
        <v>#DIV/0!</v>
      </c>
    </row>
    <row r="749" spans="1:6" ht="18" customHeight="1">
      <c r="A749" s="229" t="s">
        <v>1234</v>
      </c>
      <c r="B749" s="230"/>
      <c r="C749" s="4">
        <v>0</v>
      </c>
      <c r="D749" s="4">
        <v>0</v>
      </c>
      <c r="E749" s="14">
        <v>0</v>
      </c>
      <c r="F749" s="14" t="e">
        <f t="shared" si="56"/>
        <v>#DIV/0!</v>
      </c>
    </row>
    <row r="750" spans="1:6" ht="21" customHeight="1">
      <c r="A750" s="39">
        <v>32</v>
      </c>
      <c r="B750" s="3" t="s">
        <v>63</v>
      </c>
      <c r="C750" s="4">
        <v>71250</v>
      </c>
      <c r="D750" s="4">
        <v>71250</v>
      </c>
      <c r="E750" s="14">
        <f>E751+E754</f>
        <v>24950.46</v>
      </c>
      <c r="F750" s="14">
        <f>E750/D750*100</f>
        <v>35.01818947368421</v>
      </c>
    </row>
    <row r="751" spans="1:6" ht="18" customHeight="1">
      <c r="A751" s="39">
        <v>323</v>
      </c>
      <c r="B751" s="3" t="s">
        <v>0</v>
      </c>
      <c r="C751" s="4">
        <v>0</v>
      </c>
      <c r="D751" s="4">
        <v>0</v>
      </c>
      <c r="E751" s="14">
        <f>SUM(E752:E753)</f>
        <v>24950.46</v>
      </c>
      <c r="F751" s="14" t="e">
        <f>E751/D751*100</f>
        <v>#DIV/0!</v>
      </c>
    </row>
    <row r="752" spans="1:6" ht="15" customHeight="1">
      <c r="A752" s="39" t="s">
        <v>558</v>
      </c>
      <c r="B752" s="3" t="s">
        <v>559</v>
      </c>
      <c r="C752" s="4">
        <v>0</v>
      </c>
      <c r="D752" s="4">
        <v>0</v>
      </c>
      <c r="E752" s="14">
        <v>18691.76</v>
      </c>
      <c r="F752" s="14" t="e">
        <f>E752/D752*100</f>
        <v>#DIV/0!</v>
      </c>
    </row>
    <row r="753" spans="1:6" ht="15" customHeight="1">
      <c r="A753" s="39" t="s">
        <v>337</v>
      </c>
      <c r="B753" s="3" t="s">
        <v>339</v>
      </c>
      <c r="C753" s="4">
        <v>0</v>
      </c>
      <c r="D753" s="4">
        <v>0</v>
      </c>
      <c r="E753" s="14">
        <v>6258.7</v>
      </c>
      <c r="F753" s="14" t="e">
        <f>E753/D753*100</f>
        <v>#DIV/0!</v>
      </c>
    </row>
    <row r="754" spans="1:6" ht="18" customHeight="1">
      <c r="A754" s="39">
        <v>329</v>
      </c>
      <c r="B754" s="70" t="s">
        <v>3</v>
      </c>
      <c r="C754" s="4">
        <v>10000</v>
      </c>
      <c r="D754" s="4">
        <v>10000</v>
      </c>
      <c r="E754" s="14">
        <f>E755</f>
        <v>0</v>
      </c>
      <c r="F754" s="14">
        <f>E754/D754*100</f>
        <v>0</v>
      </c>
    </row>
    <row r="755" spans="1:6" ht="15" customHeight="1">
      <c r="A755" s="39">
        <v>3291</v>
      </c>
      <c r="B755" s="3" t="s">
        <v>172</v>
      </c>
      <c r="C755" s="4">
        <v>0</v>
      </c>
      <c r="D755" s="4">
        <v>0</v>
      </c>
      <c r="E755" s="14">
        <v>0</v>
      </c>
      <c r="F755" s="14" t="e">
        <f aca="true" t="shared" si="57" ref="F755:F768">E755/D755*100</f>
        <v>#DIV/0!</v>
      </c>
    </row>
    <row r="756" spans="1:6" ht="25.5" customHeight="1">
      <c r="A756" s="237" t="s">
        <v>951</v>
      </c>
      <c r="B756" s="238"/>
      <c r="C756" s="5">
        <f>C764</f>
        <v>20000</v>
      </c>
      <c r="D756" s="5">
        <f>D764</f>
        <v>20000</v>
      </c>
      <c r="E756" s="132">
        <f>E764</f>
        <v>0</v>
      </c>
      <c r="F756" s="14">
        <f t="shared" si="57"/>
        <v>0</v>
      </c>
    </row>
    <row r="757" spans="1:6" ht="25.5" customHeight="1">
      <c r="A757" s="233" t="s">
        <v>1083</v>
      </c>
      <c r="B757" s="234"/>
      <c r="C757" s="62">
        <f>SUM(C758:C763)</f>
        <v>20000</v>
      </c>
      <c r="D757" s="62">
        <f>SUM(D758:D763)</f>
        <v>20000</v>
      </c>
      <c r="E757" s="130">
        <f>SUM(E758:E763)</f>
        <v>0</v>
      </c>
      <c r="F757" s="14">
        <f t="shared" si="57"/>
        <v>0</v>
      </c>
    </row>
    <row r="758" spans="1:6" ht="18" customHeight="1">
      <c r="A758" s="229" t="s">
        <v>1025</v>
      </c>
      <c r="B758" s="230"/>
      <c r="C758" s="4">
        <v>16250</v>
      </c>
      <c r="D758" s="4">
        <v>16250</v>
      </c>
      <c r="E758" s="14">
        <v>0</v>
      </c>
      <c r="F758" s="14">
        <f t="shared" si="57"/>
        <v>0</v>
      </c>
    </row>
    <row r="759" spans="1:6" ht="18" customHeight="1">
      <c r="A759" s="229" t="s">
        <v>1227</v>
      </c>
      <c r="B759" s="230"/>
      <c r="C759" s="4">
        <v>0</v>
      </c>
      <c r="D759" s="4">
        <v>0</v>
      </c>
      <c r="E759" s="14">
        <v>0</v>
      </c>
      <c r="F759" s="14" t="e">
        <f t="shared" si="57"/>
        <v>#DIV/0!</v>
      </c>
    </row>
    <row r="760" spans="1:6" ht="18" customHeight="1">
      <c r="A760" s="229" t="s">
        <v>1231</v>
      </c>
      <c r="B760" s="230"/>
      <c r="C760" s="4">
        <v>3750</v>
      </c>
      <c r="D760" s="4">
        <v>3750</v>
      </c>
      <c r="E760" s="14">
        <v>0</v>
      </c>
      <c r="F760" s="14">
        <f t="shared" si="57"/>
        <v>0</v>
      </c>
    </row>
    <row r="761" spans="1:6" ht="18" customHeight="1">
      <c r="A761" s="229" t="s">
        <v>1228</v>
      </c>
      <c r="B761" s="230"/>
      <c r="C761" s="4">
        <v>0</v>
      </c>
      <c r="D761" s="4">
        <v>0</v>
      </c>
      <c r="E761" s="14">
        <v>0</v>
      </c>
      <c r="F761" s="14" t="e">
        <f t="shared" si="57"/>
        <v>#DIV/0!</v>
      </c>
    </row>
    <row r="762" spans="1:6" ht="18" customHeight="1">
      <c r="A762" s="229" t="s">
        <v>1229</v>
      </c>
      <c r="B762" s="230"/>
      <c r="C762" s="4">
        <v>0</v>
      </c>
      <c r="D762" s="4">
        <v>0</v>
      </c>
      <c r="E762" s="14">
        <v>0</v>
      </c>
      <c r="F762" s="14" t="e">
        <f t="shared" si="57"/>
        <v>#DIV/0!</v>
      </c>
    </row>
    <row r="763" spans="1:6" ht="18" customHeight="1">
      <c r="A763" s="229" t="s">
        <v>1234</v>
      </c>
      <c r="B763" s="230"/>
      <c r="C763" s="4">
        <v>0</v>
      </c>
      <c r="D763" s="4">
        <v>0</v>
      </c>
      <c r="E763" s="14">
        <v>0</v>
      </c>
      <c r="F763" s="14" t="e">
        <f t="shared" si="57"/>
        <v>#DIV/0!</v>
      </c>
    </row>
    <row r="764" spans="1:6" ht="21" customHeight="1">
      <c r="A764" s="39">
        <v>42</v>
      </c>
      <c r="B764" s="3" t="s">
        <v>610</v>
      </c>
      <c r="C764" s="4">
        <v>20000</v>
      </c>
      <c r="D764" s="4">
        <v>20000</v>
      </c>
      <c r="E764" s="14">
        <f>E765</f>
        <v>0</v>
      </c>
      <c r="F764" s="14">
        <f t="shared" si="57"/>
        <v>0</v>
      </c>
    </row>
    <row r="765" spans="1:6" ht="18" customHeight="1">
      <c r="A765" s="39" t="s">
        <v>169</v>
      </c>
      <c r="B765" s="3" t="s">
        <v>84</v>
      </c>
      <c r="C765" s="4">
        <v>0</v>
      </c>
      <c r="D765" s="4">
        <v>0</v>
      </c>
      <c r="E765" s="14">
        <f>E766</f>
        <v>0</v>
      </c>
      <c r="F765" s="14" t="e">
        <f t="shared" si="57"/>
        <v>#DIV/0!</v>
      </c>
    </row>
    <row r="766" spans="1:6" ht="15" customHeight="1">
      <c r="A766" s="39" t="s">
        <v>297</v>
      </c>
      <c r="B766" s="3" t="s">
        <v>952</v>
      </c>
      <c r="C766" s="4">
        <v>0</v>
      </c>
      <c r="D766" s="4">
        <v>0</v>
      </c>
      <c r="E766" s="14">
        <v>0</v>
      </c>
      <c r="F766" s="14" t="e">
        <f t="shared" si="57"/>
        <v>#DIV/0!</v>
      </c>
    </row>
    <row r="767" spans="1:6" ht="30" customHeight="1">
      <c r="A767" s="235" t="s">
        <v>953</v>
      </c>
      <c r="B767" s="236"/>
      <c r="C767" s="61">
        <f>C768+C779+C791</f>
        <v>100000</v>
      </c>
      <c r="D767" s="61">
        <f>D768+D779+D791</f>
        <v>100000</v>
      </c>
      <c r="E767" s="129">
        <f>E768+E779+E791</f>
        <v>45750</v>
      </c>
      <c r="F767" s="14">
        <f t="shared" si="57"/>
        <v>45.75</v>
      </c>
    </row>
    <row r="768" spans="1:6" ht="25.5" customHeight="1">
      <c r="A768" s="237" t="s">
        <v>954</v>
      </c>
      <c r="B768" s="238"/>
      <c r="C768" s="5">
        <f>C776</f>
        <v>93000</v>
      </c>
      <c r="D768" s="5">
        <f>D776</f>
        <v>93000</v>
      </c>
      <c r="E768" s="132">
        <f>E776</f>
        <v>45750</v>
      </c>
      <c r="F768" s="14">
        <f t="shared" si="57"/>
        <v>49.193548387096776</v>
      </c>
    </row>
    <row r="769" spans="1:6" ht="25.5" customHeight="1">
      <c r="A769" s="233" t="s">
        <v>1084</v>
      </c>
      <c r="B769" s="234"/>
      <c r="C769" s="62">
        <f>SUM(C770:C775)</f>
        <v>93000</v>
      </c>
      <c r="D769" s="62">
        <f>SUM(D770:D775)</f>
        <v>93000</v>
      </c>
      <c r="E769" s="130">
        <f>SUM(E770:E775)</f>
        <v>45750</v>
      </c>
      <c r="F769" s="14">
        <f aca="true" t="shared" si="58" ref="F769:F775">E769/D769*100</f>
        <v>49.193548387096776</v>
      </c>
    </row>
    <row r="770" spans="1:6" ht="18" customHeight="1">
      <c r="A770" s="229" t="s">
        <v>1025</v>
      </c>
      <c r="B770" s="230"/>
      <c r="C770" s="4">
        <v>93000</v>
      </c>
      <c r="D770" s="4">
        <v>93000</v>
      </c>
      <c r="E770" s="14">
        <v>45750</v>
      </c>
      <c r="F770" s="14">
        <f t="shared" si="58"/>
        <v>49.193548387096776</v>
      </c>
    </row>
    <row r="771" spans="1:6" ht="18" customHeight="1">
      <c r="A771" s="229" t="s">
        <v>1227</v>
      </c>
      <c r="B771" s="230"/>
      <c r="C771" s="4">
        <v>0</v>
      </c>
      <c r="D771" s="4">
        <v>0</v>
      </c>
      <c r="E771" s="14">
        <v>0</v>
      </c>
      <c r="F771" s="14" t="e">
        <f t="shared" si="58"/>
        <v>#DIV/0!</v>
      </c>
    </row>
    <row r="772" spans="1:6" ht="18" customHeight="1">
      <c r="A772" s="229" t="s">
        <v>1231</v>
      </c>
      <c r="B772" s="230"/>
      <c r="C772" s="4">
        <v>0</v>
      </c>
      <c r="D772" s="4">
        <v>0</v>
      </c>
      <c r="E772" s="14">
        <v>0</v>
      </c>
      <c r="F772" s="14" t="e">
        <f t="shared" si="58"/>
        <v>#DIV/0!</v>
      </c>
    </row>
    <row r="773" spans="1:6" ht="18" customHeight="1">
      <c r="A773" s="229" t="s">
        <v>1228</v>
      </c>
      <c r="B773" s="230"/>
      <c r="C773" s="4">
        <v>0</v>
      </c>
      <c r="D773" s="4">
        <v>0</v>
      </c>
      <c r="E773" s="14">
        <v>0</v>
      </c>
      <c r="F773" s="14" t="e">
        <f t="shared" si="58"/>
        <v>#DIV/0!</v>
      </c>
    </row>
    <row r="774" spans="1:6" ht="18" customHeight="1">
      <c r="A774" s="229" t="s">
        <v>1229</v>
      </c>
      <c r="B774" s="230"/>
      <c r="C774" s="4">
        <v>0</v>
      </c>
      <c r="D774" s="4">
        <v>0</v>
      </c>
      <c r="E774" s="14">
        <v>0</v>
      </c>
      <c r="F774" s="14" t="e">
        <f t="shared" si="58"/>
        <v>#DIV/0!</v>
      </c>
    </row>
    <row r="775" spans="1:6" ht="18" customHeight="1">
      <c r="A775" s="229" t="s">
        <v>1234</v>
      </c>
      <c r="B775" s="230"/>
      <c r="C775" s="4">
        <v>0</v>
      </c>
      <c r="D775" s="4">
        <v>0</v>
      </c>
      <c r="E775" s="14">
        <v>0</v>
      </c>
      <c r="F775" s="14" t="e">
        <f t="shared" si="58"/>
        <v>#DIV/0!</v>
      </c>
    </row>
    <row r="776" spans="1:6" ht="21" customHeight="1">
      <c r="A776" s="39" t="s">
        <v>615</v>
      </c>
      <c r="B776" s="3" t="s">
        <v>617</v>
      </c>
      <c r="C776" s="4">
        <v>93000</v>
      </c>
      <c r="D776" s="4">
        <v>93000</v>
      </c>
      <c r="E776" s="14">
        <f>E777</f>
        <v>45750</v>
      </c>
      <c r="F776" s="14">
        <f aca="true" t="shared" si="59" ref="F776:F791">E776/D776*100</f>
        <v>49.193548387096776</v>
      </c>
    </row>
    <row r="777" spans="1:6" ht="18" customHeight="1">
      <c r="A777" s="39" t="s">
        <v>616</v>
      </c>
      <c r="B777" s="3" t="s">
        <v>618</v>
      </c>
      <c r="C777" s="4">
        <v>0</v>
      </c>
      <c r="D777" s="4">
        <v>0</v>
      </c>
      <c r="E777" s="14">
        <f>SUM(E778:E778)</f>
        <v>45750</v>
      </c>
      <c r="F777" s="14" t="e">
        <f t="shared" si="59"/>
        <v>#DIV/0!</v>
      </c>
    </row>
    <row r="778" spans="1:6" ht="15" customHeight="1">
      <c r="A778" s="39" t="s">
        <v>619</v>
      </c>
      <c r="B778" s="3" t="s">
        <v>620</v>
      </c>
      <c r="C778" s="4">
        <v>0</v>
      </c>
      <c r="D778" s="4">
        <v>0</v>
      </c>
      <c r="E778" s="14">
        <v>45750</v>
      </c>
      <c r="F778" s="14" t="e">
        <f t="shared" si="59"/>
        <v>#DIV/0!</v>
      </c>
    </row>
    <row r="779" spans="1:6" ht="25.5" customHeight="1">
      <c r="A779" s="237" t="s">
        <v>955</v>
      </c>
      <c r="B779" s="238"/>
      <c r="C779" s="5">
        <f>C787</f>
        <v>4000</v>
      </c>
      <c r="D779" s="5">
        <f>D787</f>
        <v>4000</v>
      </c>
      <c r="E779" s="132">
        <f>E787</f>
        <v>0</v>
      </c>
      <c r="F779" s="14">
        <f t="shared" si="59"/>
        <v>0</v>
      </c>
    </row>
    <row r="780" spans="1:6" ht="25.5" customHeight="1">
      <c r="A780" s="233" t="s">
        <v>1085</v>
      </c>
      <c r="B780" s="234"/>
      <c r="C780" s="62">
        <f>SUM(C781:C786)</f>
        <v>4000</v>
      </c>
      <c r="D780" s="62">
        <f>SUM(D781:D786)</f>
        <v>4000</v>
      </c>
      <c r="E780" s="130">
        <f>SUM(E781:E786)</f>
        <v>0</v>
      </c>
      <c r="F780" s="14">
        <f t="shared" si="59"/>
        <v>0</v>
      </c>
    </row>
    <row r="781" spans="1:6" ht="18" customHeight="1">
      <c r="A781" s="229" t="s">
        <v>1025</v>
      </c>
      <c r="B781" s="230"/>
      <c r="C781" s="4">
        <v>4000</v>
      </c>
      <c r="D781" s="4">
        <v>4000</v>
      </c>
      <c r="E781" s="14">
        <v>0</v>
      </c>
      <c r="F781" s="14">
        <f t="shared" si="59"/>
        <v>0</v>
      </c>
    </row>
    <row r="782" spans="1:6" ht="18" customHeight="1">
      <c r="A782" s="229" t="s">
        <v>1227</v>
      </c>
      <c r="B782" s="230"/>
      <c r="C782" s="4">
        <v>0</v>
      </c>
      <c r="D782" s="4">
        <v>0</v>
      </c>
      <c r="E782" s="14">
        <v>0</v>
      </c>
      <c r="F782" s="14" t="e">
        <f t="shared" si="59"/>
        <v>#DIV/0!</v>
      </c>
    </row>
    <row r="783" spans="1:6" ht="18" customHeight="1">
      <c r="A783" s="229" t="s">
        <v>1231</v>
      </c>
      <c r="B783" s="230"/>
      <c r="C783" s="4">
        <v>0</v>
      </c>
      <c r="D783" s="4">
        <v>0</v>
      </c>
      <c r="E783" s="14">
        <v>0</v>
      </c>
      <c r="F783" s="14" t="e">
        <f t="shared" si="59"/>
        <v>#DIV/0!</v>
      </c>
    </row>
    <row r="784" spans="1:6" ht="18" customHeight="1">
      <c r="A784" s="229" t="s">
        <v>1228</v>
      </c>
      <c r="B784" s="230"/>
      <c r="C784" s="4">
        <v>0</v>
      </c>
      <c r="D784" s="4">
        <v>0</v>
      </c>
      <c r="E784" s="14">
        <v>0</v>
      </c>
      <c r="F784" s="14" t="e">
        <f t="shared" si="59"/>
        <v>#DIV/0!</v>
      </c>
    </row>
    <row r="785" spans="1:6" ht="18" customHeight="1">
      <c r="A785" s="229" t="s">
        <v>1229</v>
      </c>
      <c r="B785" s="230"/>
      <c r="C785" s="4">
        <v>0</v>
      </c>
      <c r="D785" s="4">
        <v>0</v>
      </c>
      <c r="E785" s="14">
        <v>0</v>
      </c>
      <c r="F785" s="14" t="e">
        <f t="shared" si="59"/>
        <v>#DIV/0!</v>
      </c>
    </row>
    <row r="786" spans="1:6" ht="18" customHeight="1">
      <c r="A786" s="229" t="s">
        <v>1234</v>
      </c>
      <c r="B786" s="230"/>
      <c r="C786" s="4">
        <v>0</v>
      </c>
      <c r="D786" s="4">
        <v>0</v>
      </c>
      <c r="E786" s="14">
        <v>0</v>
      </c>
      <c r="F786" s="14" t="e">
        <f t="shared" si="59"/>
        <v>#DIV/0!</v>
      </c>
    </row>
    <row r="787" spans="1:6" ht="21" customHeight="1">
      <c r="A787" s="39" t="s">
        <v>615</v>
      </c>
      <c r="B787" s="3" t="s">
        <v>617</v>
      </c>
      <c r="C787" s="4">
        <v>4000</v>
      </c>
      <c r="D787" s="4">
        <v>4000</v>
      </c>
      <c r="E787" s="14">
        <f>E788</f>
        <v>0</v>
      </c>
      <c r="F787" s="14">
        <f t="shared" si="59"/>
        <v>0</v>
      </c>
    </row>
    <row r="788" spans="1:6" ht="18" customHeight="1">
      <c r="A788" s="39" t="s">
        <v>616</v>
      </c>
      <c r="B788" s="3" t="s">
        <v>618</v>
      </c>
      <c r="C788" s="4">
        <v>0</v>
      </c>
      <c r="D788" s="4">
        <v>0</v>
      </c>
      <c r="E788" s="14">
        <f>SUM(E789:E790)</f>
        <v>0</v>
      </c>
      <c r="F788" s="14" t="e">
        <f t="shared" si="59"/>
        <v>#DIV/0!</v>
      </c>
    </row>
    <row r="789" spans="1:6" ht="15" customHeight="1">
      <c r="A789" s="39" t="s">
        <v>619</v>
      </c>
      <c r="B789" s="3" t="s">
        <v>621</v>
      </c>
      <c r="C789" s="4">
        <v>0</v>
      </c>
      <c r="D789" s="4">
        <v>0</v>
      </c>
      <c r="E789" s="14">
        <v>0</v>
      </c>
      <c r="F789" s="14" t="e">
        <f t="shared" si="59"/>
        <v>#DIV/0!</v>
      </c>
    </row>
    <row r="790" spans="1:6" ht="15" customHeight="1">
      <c r="A790" s="39" t="s">
        <v>622</v>
      </c>
      <c r="B790" s="3" t="s">
        <v>623</v>
      </c>
      <c r="C790" s="4">
        <v>0</v>
      </c>
      <c r="D790" s="4">
        <v>0</v>
      </c>
      <c r="E790" s="14">
        <v>0</v>
      </c>
      <c r="F790" s="14" t="e">
        <f t="shared" si="59"/>
        <v>#DIV/0!</v>
      </c>
    </row>
    <row r="791" spans="1:6" ht="25.5" customHeight="1">
      <c r="A791" s="237" t="s">
        <v>956</v>
      </c>
      <c r="B791" s="238"/>
      <c r="C791" s="5">
        <f>C799</f>
        <v>3000</v>
      </c>
      <c r="D791" s="5">
        <f>D799</f>
        <v>3000</v>
      </c>
      <c r="E791" s="132">
        <f>E799</f>
        <v>0</v>
      </c>
      <c r="F791" s="14">
        <f t="shared" si="59"/>
        <v>0</v>
      </c>
    </row>
    <row r="792" spans="1:6" ht="25.5" customHeight="1">
      <c r="A792" s="233" t="s">
        <v>1086</v>
      </c>
      <c r="B792" s="234"/>
      <c r="C792" s="62">
        <f>SUM(C793:C798)</f>
        <v>3000</v>
      </c>
      <c r="D792" s="62">
        <f>SUM(D793:D798)</f>
        <v>3000</v>
      </c>
      <c r="E792" s="130">
        <f>SUM(E793:E798)</f>
        <v>0</v>
      </c>
      <c r="F792" s="14">
        <f aca="true" t="shared" si="60" ref="F792:F798">E792/D792*100</f>
        <v>0</v>
      </c>
    </row>
    <row r="793" spans="1:6" ht="18" customHeight="1">
      <c r="A793" s="229" t="s">
        <v>1025</v>
      </c>
      <c r="B793" s="230"/>
      <c r="C793" s="4">
        <v>3000</v>
      </c>
      <c r="D793" s="4">
        <v>3000</v>
      </c>
      <c r="E793" s="14">
        <v>0</v>
      </c>
      <c r="F793" s="14">
        <f t="shared" si="60"/>
        <v>0</v>
      </c>
    </row>
    <row r="794" spans="1:6" ht="18" customHeight="1">
      <c r="A794" s="229" t="s">
        <v>1227</v>
      </c>
      <c r="B794" s="230"/>
      <c r="C794" s="4">
        <v>0</v>
      </c>
      <c r="D794" s="4">
        <v>0</v>
      </c>
      <c r="E794" s="14">
        <v>0</v>
      </c>
      <c r="F794" s="14" t="e">
        <f t="shared" si="60"/>
        <v>#DIV/0!</v>
      </c>
    </row>
    <row r="795" spans="1:6" ht="18" customHeight="1">
      <c r="A795" s="229" t="s">
        <v>1231</v>
      </c>
      <c r="B795" s="230"/>
      <c r="C795" s="4">
        <v>0</v>
      </c>
      <c r="D795" s="4">
        <v>0</v>
      </c>
      <c r="E795" s="14">
        <v>0</v>
      </c>
      <c r="F795" s="14" t="e">
        <f t="shared" si="60"/>
        <v>#DIV/0!</v>
      </c>
    </row>
    <row r="796" spans="1:6" ht="18" customHeight="1">
      <c r="A796" s="229" t="s">
        <v>1228</v>
      </c>
      <c r="B796" s="230"/>
      <c r="C796" s="4">
        <v>0</v>
      </c>
      <c r="D796" s="4">
        <v>0</v>
      </c>
      <c r="E796" s="14">
        <v>0</v>
      </c>
      <c r="F796" s="14" t="e">
        <f t="shared" si="60"/>
        <v>#DIV/0!</v>
      </c>
    </row>
    <row r="797" spans="1:6" ht="18" customHeight="1">
      <c r="A797" s="229" t="s">
        <v>1229</v>
      </c>
      <c r="B797" s="230"/>
      <c r="C797" s="4">
        <v>0</v>
      </c>
      <c r="D797" s="4">
        <v>0</v>
      </c>
      <c r="E797" s="14">
        <v>0</v>
      </c>
      <c r="F797" s="14" t="e">
        <f t="shared" si="60"/>
        <v>#DIV/0!</v>
      </c>
    </row>
    <row r="798" spans="1:6" ht="18" customHeight="1">
      <c r="A798" s="229" t="s">
        <v>1234</v>
      </c>
      <c r="B798" s="230"/>
      <c r="C798" s="4">
        <v>0</v>
      </c>
      <c r="D798" s="4">
        <v>0</v>
      </c>
      <c r="E798" s="14">
        <v>0</v>
      </c>
      <c r="F798" s="14" t="e">
        <f t="shared" si="60"/>
        <v>#DIV/0!</v>
      </c>
    </row>
    <row r="799" spans="1:6" ht="21" customHeight="1">
      <c r="A799" s="39">
        <v>42</v>
      </c>
      <c r="B799" s="3" t="s">
        <v>610</v>
      </c>
      <c r="C799" s="4">
        <v>3000</v>
      </c>
      <c r="D799" s="4">
        <v>3000</v>
      </c>
      <c r="E799" s="14">
        <f>E800</f>
        <v>0</v>
      </c>
      <c r="F799" s="14">
        <f>E799/D799*100</f>
        <v>0</v>
      </c>
    </row>
    <row r="800" spans="1:6" ht="18" customHeight="1">
      <c r="A800" s="39" t="s">
        <v>169</v>
      </c>
      <c r="B800" s="3" t="s">
        <v>84</v>
      </c>
      <c r="C800" s="4">
        <v>0</v>
      </c>
      <c r="D800" s="4">
        <v>0</v>
      </c>
      <c r="E800" s="14">
        <f>E801</f>
        <v>0</v>
      </c>
      <c r="F800" s="14" t="e">
        <f>E800/D800*100</f>
        <v>#DIV/0!</v>
      </c>
    </row>
    <row r="801" spans="1:6" ht="15" customHeight="1">
      <c r="A801" s="39" t="s">
        <v>329</v>
      </c>
      <c r="B801" s="3" t="s">
        <v>957</v>
      </c>
      <c r="C801" s="4">
        <v>0</v>
      </c>
      <c r="D801" s="4">
        <v>0</v>
      </c>
      <c r="E801" s="14">
        <v>0</v>
      </c>
      <c r="F801" s="14" t="e">
        <f>E801/D801*100</f>
        <v>#DIV/0!</v>
      </c>
    </row>
    <row r="802" spans="1:6" ht="30" customHeight="1">
      <c r="A802" s="235" t="s">
        <v>958</v>
      </c>
      <c r="B802" s="236"/>
      <c r="C802" s="61">
        <f>C803+C816+C829+C851+C840+C862</f>
        <v>431000</v>
      </c>
      <c r="D802" s="61">
        <f>D803+D816+D829+D851+D840+D862</f>
        <v>431000</v>
      </c>
      <c r="E802" s="129">
        <f>E803+E816+E829+E851+E840+E862</f>
        <v>146349.49</v>
      </c>
      <c r="F802" s="14">
        <f>E802/D802*100</f>
        <v>33.95579814385151</v>
      </c>
    </row>
    <row r="803" spans="1:6" ht="25.5" customHeight="1">
      <c r="A803" s="237" t="s">
        <v>959</v>
      </c>
      <c r="B803" s="238"/>
      <c r="C803" s="5">
        <f>C811</f>
        <v>50000</v>
      </c>
      <c r="D803" s="5">
        <f>D811</f>
        <v>50000</v>
      </c>
      <c r="E803" s="132">
        <f>E811</f>
        <v>18175</v>
      </c>
      <c r="F803" s="14">
        <f>E803/D803*100</f>
        <v>36.35</v>
      </c>
    </row>
    <row r="804" spans="1:6" ht="25.5" customHeight="1">
      <c r="A804" s="233" t="s">
        <v>1087</v>
      </c>
      <c r="B804" s="234"/>
      <c r="C804" s="62">
        <f>SUM(C805:C810)</f>
        <v>50000</v>
      </c>
      <c r="D804" s="62">
        <f>SUM(D805:D810)</f>
        <v>50000</v>
      </c>
      <c r="E804" s="130">
        <f>SUM(E805:E810)</f>
        <v>18175</v>
      </c>
      <c r="F804" s="14">
        <f aca="true" t="shared" si="61" ref="F804:F810">E804/D804*100</f>
        <v>36.35</v>
      </c>
    </row>
    <row r="805" spans="1:6" ht="18" customHeight="1">
      <c r="A805" s="229" t="s">
        <v>1025</v>
      </c>
      <c r="B805" s="230"/>
      <c r="C805" s="4">
        <v>50000</v>
      </c>
      <c r="D805" s="4">
        <v>50000</v>
      </c>
      <c r="E805" s="14">
        <v>18175</v>
      </c>
      <c r="F805" s="14">
        <f t="shared" si="61"/>
        <v>36.35</v>
      </c>
    </row>
    <row r="806" spans="1:6" ht="18" customHeight="1">
      <c r="A806" s="229" t="s">
        <v>1227</v>
      </c>
      <c r="B806" s="230"/>
      <c r="C806" s="4">
        <v>0</v>
      </c>
      <c r="D806" s="4">
        <v>0</v>
      </c>
      <c r="E806" s="14">
        <v>0</v>
      </c>
      <c r="F806" s="14" t="e">
        <f t="shared" si="61"/>
        <v>#DIV/0!</v>
      </c>
    </row>
    <row r="807" spans="1:6" ht="18" customHeight="1">
      <c r="A807" s="229" t="s">
        <v>1231</v>
      </c>
      <c r="B807" s="230"/>
      <c r="C807" s="4">
        <v>0</v>
      </c>
      <c r="D807" s="4">
        <v>0</v>
      </c>
      <c r="E807" s="14">
        <v>0</v>
      </c>
      <c r="F807" s="14" t="e">
        <f t="shared" si="61"/>
        <v>#DIV/0!</v>
      </c>
    </row>
    <row r="808" spans="1:6" ht="18" customHeight="1">
      <c r="A808" s="229" t="s">
        <v>1228</v>
      </c>
      <c r="B808" s="230"/>
      <c r="C808" s="4">
        <v>0</v>
      </c>
      <c r="D808" s="4">
        <v>0</v>
      </c>
      <c r="E808" s="14">
        <v>0</v>
      </c>
      <c r="F808" s="14" t="e">
        <f t="shared" si="61"/>
        <v>#DIV/0!</v>
      </c>
    </row>
    <row r="809" spans="1:6" ht="18" customHeight="1">
      <c r="A809" s="229" t="s">
        <v>1229</v>
      </c>
      <c r="B809" s="230"/>
      <c r="C809" s="4">
        <v>0</v>
      </c>
      <c r="D809" s="4">
        <v>0</v>
      </c>
      <c r="E809" s="14">
        <v>0</v>
      </c>
      <c r="F809" s="14" t="e">
        <f t="shared" si="61"/>
        <v>#DIV/0!</v>
      </c>
    </row>
    <row r="810" spans="1:6" ht="18" customHeight="1">
      <c r="A810" s="229" t="s">
        <v>1234</v>
      </c>
      <c r="B810" s="230"/>
      <c r="C810" s="4">
        <v>0</v>
      </c>
      <c r="D810" s="4">
        <v>0</v>
      </c>
      <c r="E810" s="14">
        <v>0</v>
      </c>
      <c r="F810" s="14" t="e">
        <f t="shared" si="61"/>
        <v>#DIV/0!</v>
      </c>
    </row>
    <row r="811" spans="1:6" ht="21" customHeight="1">
      <c r="A811" s="39" t="s">
        <v>133</v>
      </c>
      <c r="B811" s="3" t="s">
        <v>63</v>
      </c>
      <c r="C811" s="4">
        <v>50000</v>
      </c>
      <c r="D811" s="4">
        <v>50000</v>
      </c>
      <c r="E811" s="14">
        <f>SUM(E812+E814)</f>
        <v>18175</v>
      </c>
      <c r="F811" s="14">
        <f aca="true" t="shared" si="62" ref="F811:F827">E811/D811*100</f>
        <v>36.35</v>
      </c>
    </row>
    <row r="812" spans="1:6" ht="18" customHeight="1">
      <c r="A812" s="39">
        <v>322</v>
      </c>
      <c r="B812" s="3" t="s">
        <v>70</v>
      </c>
      <c r="C812" s="4">
        <v>0</v>
      </c>
      <c r="D812" s="4">
        <v>0</v>
      </c>
      <c r="E812" s="14">
        <f>E813</f>
        <v>0</v>
      </c>
      <c r="F812" s="14" t="e">
        <f t="shared" si="62"/>
        <v>#DIV/0!</v>
      </c>
    </row>
    <row r="813" spans="1:6" ht="15" customHeight="1">
      <c r="A813" s="39">
        <v>3224</v>
      </c>
      <c r="B813" s="3" t="s">
        <v>90</v>
      </c>
      <c r="C813" s="4">
        <v>0</v>
      </c>
      <c r="D813" s="4">
        <v>0</v>
      </c>
      <c r="E813" s="14">
        <v>0</v>
      </c>
      <c r="F813" s="14" t="e">
        <f t="shared" si="62"/>
        <v>#DIV/0!</v>
      </c>
    </row>
    <row r="814" spans="1:6" ht="18" customHeight="1">
      <c r="A814" s="39" t="s">
        <v>134</v>
      </c>
      <c r="B814" s="3" t="s">
        <v>72</v>
      </c>
      <c r="C814" s="4">
        <v>0</v>
      </c>
      <c r="D814" s="4">
        <v>0</v>
      </c>
      <c r="E814" s="14">
        <f>E815</f>
        <v>18175</v>
      </c>
      <c r="F814" s="14" t="e">
        <f t="shared" si="62"/>
        <v>#DIV/0!</v>
      </c>
    </row>
    <row r="815" spans="1:6" ht="15" customHeight="1">
      <c r="A815" s="39" t="s">
        <v>135</v>
      </c>
      <c r="B815" s="3" t="s">
        <v>150</v>
      </c>
      <c r="C815" s="4">
        <v>0</v>
      </c>
      <c r="D815" s="4">
        <v>0</v>
      </c>
      <c r="E815" s="14">
        <v>18175</v>
      </c>
      <c r="F815" s="14" t="e">
        <f t="shared" si="62"/>
        <v>#DIV/0!</v>
      </c>
    </row>
    <row r="816" spans="1:6" ht="25.5" customHeight="1">
      <c r="A816" s="237" t="s">
        <v>1261</v>
      </c>
      <c r="B816" s="238"/>
      <c r="C816" s="5">
        <f>C824</f>
        <v>160000</v>
      </c>
      <c r="D816" s="5">
        <f>D824</f>
        <v>160000</v>
      </c>
      <c r="E816" s="132">
        <f>E824</f>
        <v>49473.39</v>
      </c>
      <c r="F816" s="14">
        <f t="shared" si="62"/>
        <v>30.920868750000004</v>
      </c>
    </row>
    <row r="817" spans="1:6" ht="25.5" customHeight="1">
      <c r="A817" s="233" t="s">
        <v>1088</v>
      </c>
      <c r="B817" s="234"/>
      <c r="C817" s="62">
        <f>SUM(C818:C823)</f>
        <v>160000</v>
      </c>
      <c r="D817" s="62">
        <f>SUM(D818:D823)</f>
        <v>160000</v>
      </c>
      <c r="E817" s="130">
        <f>SUM(E818:E823)</f>
        <v>49473.39</v>
      </c>
      <c r="F817" s="14">
        <f t="shared" si="62"/>
        <v>30.920868750000004</v>
      </c>
    </row>
    <row r="818" spans="1:6" ht="18" customHeight="1">
      <c r="A818" s="229" t="s">
        <v>1025</v>
      </c>
      <c r="B818" s="230"/>
      <c r="C818" s="4">
        <v>140000</v>
      </c>
      <c r="D818" s="4">
        <v>140000</v>
      </c>
      <c r="E818" s="14">
        <v>49473.39</v>
      </c>
      <c r="F818" s="14">
        <f t="shared" si="62"/>
        <v>35.33813571428571</v>
      </c>
    </row>
    <row r="819" spans="1:6" ht="18" customHeight="1">
      <c r="A819" s="229" t="s">
        <v>1227</v>
      </c>
      <c r="B819" s="230"/>
      <c r="C819" s="4">
        <v>0</v>
      </c>
      <c r="D819" s="4">
        <v>0</v>
      </c>
      <c r="E819" s="14">
        <v>0</v>
      </c>
      <c r="F819" s="14" t="e">
        <f t="shared" si="62"/>
        <v>#DIV/0!</v>
      </c>
    </row>
    <row r="820" spans="1:6" ht="18" customHeight="1">
      <c r="A820" s="229" t="s">
        <v>1231</v>
      </c>
      <c r="B820" s="230"/>
      <c r="C820" s="4">
        <v>0</v>
      </c>
      <c r="D820" s="4">
        <v>0</v>
      </c>
      <c r="E820" s="14">
        <v>0</v>
      </c>
      <c r="F820" s="14" t="e">
        <f t="shared" si="62"/>
        <v>#DIV/0!</v>
      </c>
    </row>
    <row r="821" spans="1:6" ht="18" customHeight="1">
      <c r="A821" s="229" t="s">
        <v>1228</v>
      </c>
      <c r="B821" s="230"/>
      <c r="C821" s="4">
        <v>0</v>
      </c>
      <c r="D821" s="4">
        <v>0</v>
      </c>
      <c r="E821" s="14">
        <v>0</v>
      </c>
      <c r="F821" s="14" t="e">
        <f t="shared" si="62"/>
        <v>#DIV/0!</v>
      </c>
    </row>
    <row r="822" spans="1:6" ht="18" customHeight="1">
      <c r="A822" s="229" t="s">
        <v>1029</v>
      </c>
      <c r="B822" s="230"/>
      <c r="C822" s="4">
        <v>0</v>
      </c>
      <c r="D822" s="4">
        <v>0</v>
      </c>
      <c r="E822" s="14">
        <v>0</v>
      </c>
      <c r="F822" s="14" t="e">
        <f t="shared" si="62"/>
        <v>#DIV/0!</v>
      </c>
    </row>
    <row r="823" spans="1:6" ht="18" customHeight="1">
      <c r="A823" s="229" t="s">
        <v>1419</v>
      </c>
      <c r="B823" s="230"/>
      <c r="C823" s="4">
        <v>20000</v>
      </c>
      <c r="D823" s="4">
        <v>20000</v>
      </c>
      <c r="E823" s="14">
        <v>0</v>
      </c>
      <c r="F823" s="14">
        <f t="shared" si="62"/>
        <v>0</v>
      </c>
    </row>
    <row r="824" spans="1:6" ht="21" customHeight="1">
      <c r="A824" s="39">
        <v>38</v>
      </c>
      <c r="B824" s="3" t="s">
        <v>6</v>
      </c>
      <c r="C824" s="4">
        <v>160000</v>
      </c>
      <c r="D824" s="4">
        <v>160000</v>
      </c>
      <c r="E824" s="14">
        <f>E825</f>
        <v>49473.39</v>
      </c>
      <c r="F824" s="14">
        <f t="shared" si="62"/>
        <v>30.920868750000004</v>
      </c>
    </row>
    <row r="825" spans="1:6" ht="18" customHeight="1">
      <c r="A825" s="39">
        <v>381</v>
      </c>
      <c r="B825" s="3" t="s">
        <v>94</v>
      </c>
      <c r="C825" s="4">
        <v>0</v>
      </c>
      <c r="D825" s="4">
        <v>0</v>
      </c>
      <c r="E825" s="14">
        <f>E826</f>
        <v>49473.39</v>
      </c>
      <c r="F825" s="14" t="e">
        <f t="shared" si="62"/>
        <v>#DIV/0!</v>
      </c>
    </row>
    <row r="826" spans="1:6" ht="15" customHeight="1">
      <c r="A826" s="39">
        <v>3811</v>
      </c>
      <c r="B826" s="3" t="s">
        <v>95</v>
      </c>
      <c r="C826" s="4">
        <f>C827+C828</f>
        <v>0</v>
      </c>
      <c r="D826" s="4">
        <f>D827+D828</f>
        <v>0</v>
      </c>
      <c r="E826" s="14">
        <v>49473.39</v>
      </c>
      <c r="F826" s="14" t="e">
        <f t="shared" si="62"/>
        <v>#DIV/0!</v>
      </c>
    </row>
    <row r="827" spans="1:6" ht="14.25" customHeight="1">
      <c r="A827" s="39">
        <v>38115</v>
      </c>
      <c r="B827" s="3" t="s">
        <v>1262</v>
      </c>
      <c r="C827" s="4">
        <v>0</v>
      </c>
      <c r="D827" s="4">
        <v>0</v>
      </c>
      <c r="E827" s="14">
        <v>0</v>
      </c>
      <c r="F827" s="14" t="e">
        <f t="shared" si="62"/>
        <v>#DIV/0!</v>
      </c>
    </row>
    <row r="828" spans="1:6" ht="14.25" customHeight="1">
      <c r="A828" s="39">
        <v>38115</v>
      </c>
      <c r="B828" s="3" t="s">
        <v>1263</v>
      </c>
      <c r="C828" s="4">
        <v>0</v>
      </c>
      <c r="D828" s="4">
        <v>0</v>
      </c>
      <c r="E828" s="14">
        <v>0</v>
      </c>
      <c r="F828" s="14" t="e">
        <f>E828/D828*100</f>
        <v>#DIV/0!</v>
      </c>
    </row>
    <row r="829" spans="1:6" ht="25.5" customHeight="1">
      <c r="A829" s="237" t="s">
        <v>960</v>
      </c>
      <c r="B829" s="238"/>
      <c r="C829" s="5">
        <f>C837</f>
        <v>1000</v>
      </c>
      <c r="D829" s="5">
        <f>D837</f>
        <v>1000</v>
      </c>
      <c r="E829" s="132">
        <f>E837</f>
        <v>0</v>
      </c>
      <c r="F829" s="14">
        <f aca="true" t="shared" si="63" ref="F829:F850">E829/D829*100</f>
        <v>0</v>
      </c>
    </row>
    <row r="830" spans="1:6" ht="25.5" customHeight="1">
      <c r="A830" s="233" t="s">
        <v>1089</v>
      </c>
      <c r="B830" s="234"/>
      <c r="C830" s="62">
        <f>SUM(C831:C836)</f>
        <v>1000</v>
      </c>
      <c r="D830" s="62">
        <f>SUM(D831:D836)</f>
        <v>1000</v>
      </c>
      <c r="E830" s="130">
        <f>SUM(E831:E836)</f>
        <v>0</v>
      </c>
      <c r="F830" s="14">
        <f t="shared" si="63"/>
        <v>0</v>
      </c>
    </row>
    <row r="831" spans="1:6" ht="18" customHeight="1">
      <c r="A831" s="229" t="s">
        <v>1025</v>
      </c>
      <c r="B831" s="230"/>
      <c r="C831" s="4">
        <v>1000</v>
      </c>
      <c r="D831" s="4">
        <v>1000</v>
      </c>
      <c r="E831" s="14">
        <v>0</v>
      </c>
      <c r="F831" s="14">
        <f t="shared" si="63"/>
        <v>0</v>
      </c>
    </row>
    <row r="832" spans="1:6" ht="18" customHeight="1">
      <c r="A832" s="229" t="s">
        <v>1227</v>
      </c>
      <c r="B832" s="230"/>
      <c r="C832" s="4">
        <v>0</v>
      </c>
      <c r="D832" s="4">
        <v>0</v>
      </c>
      <c r="E832" s="14">
        <v>0</v>
      </c>
      <c r="F832" s="14" t="e">
        <f t="shared" si="63"/>
        <v>#DIV/0!</v>
      </c>
    </row>
    <row r="833" spans="1:6" ht="18" customHeight="1">
      <c r="A833" s="229" t="s">
        <v>1231</v>
      </c>
      <c r="B833" s="230"/>
      <c r="C833" s="4">
        <v>0</v>
      </c>
      <c r="D833" s="4">
        <v>0</v>
      </c>
      <c r="E833" s="14">
        <v>0</v>
      </c>
      <c r="F833" s="14" t="e">
        <f t="shared" si="63"/>
        <v>#DIV/0!</v>
      </c>
    </row>
    <row r="834" spans="1:6" ht="18" customHeight="1">
      <c r="A834" s="229" t="s">
        <v>1228</v>
      </c>
      <c r="B834" s="230"/>
      <c r="C834" s="4">
        <v>0</v>
      </c>
      <c r="D834" s="4">
        <v>0</v>
      </c>
      <c r="E834" s="14">
        <v>0</v>
      </c>
      <c r="F834" s="14" t="e">
        <f t="shared" si="63"/>
        <v>#DIV/0!</v>
      </c>
    </row>
    <row r="835" spans="1:6" ht="18" customHeight="1">
      <c r="A835" s="229" t="s">
        <v>1229</v>
      </c>
      <c r="B835" s="230"/>
      <c r="C835" s="4">
        <v>0</v>
      </c>
      <c r="D835" s="4">
        <v>0</v>
      </c>
      <c r="E835" s="14">
        <v>0</v>
      </c>
      <c r="F835" s="14" t="e">
        <f t="shared" si="63"/>
        <v>#DIV/0!</v>
      </c>
    </row>
    <row r="836" spans="1:6" ht="18" customHeight="1">
      <c r="A836" s="229" t="s">
        <v>1234</v>
      </c>
      <c r="B836" s="230"/>
      <c r="C836" s="4">
        <v>0</v>
      </c>
      <c r="D836" s="4">
        <v>0</v>
      </c>
      <c r="E836" s="14">
        <v>0</v>
      </c>
      <c r="F836" s="14" t="e">
        <f t="shared" si="63"/>
        <v>#DIV/0!</v>
      </c>
    </row>
    <row r="837" spans="1:6" ht="21" customHeight="1">
      <c r="A837" s="39" t="s">
        <v>292</v>
      </c>
      <c r="B837" s="70" t="s">
        <v>607</v>
      </c>
      <c r="C837" s="4">
        <v>1000</v>
      </c>
      <c r="D837" s="4">
        <v>1000</v>
      </c>
      <c r="E837" s="14">
        <f>E838</f>
        <v>0</v>
      </c>
      <c r="F837" s="14">
        <f t="shared" si="63"/>
        <v>0</v>
      </c>
    </row>
    <row r="838" spans="1:6" ht="18" customHeight="1">
      <c r="A838" s="39" t="s">
        <v>169</v>
      </c>
      <c r="B838" s="70" t="s">
        <v>84</v>
      </c>
      <c r="C838" s="4">
        <v>0</v>
      </c>
      <c r="D838" s="4">
        <v>0</v>
      </c>
      <c r="E838" s="14">
        <f>E839</f>
        <v>0</v>
      </c>
      <c r="F838" s="14" t="e">
        <f t="shared" si="63"/>
        <v>#DIV/0!</v>
      </c>
    </row>
    <row r="839" spans="1:6" ht="15" customHeight="1">
      <c r="A839" s="39" t="s">
        <v>329</v>
      </c>
      <c r="B839" s="70" t="s">
        <v>693</v>
      </c>
      <c r="C839" s="4">
        <v>0</v>
      </c>
      <c r="D839" s="4">
        <v>0</v>
      </c>
      <c r="E839" s="14">
        <v>0</v>
      </c>
      <c r="F839" s="14" t="e">
        <f t="shared" si="63"/>
        <v>#DIV/0!</v>
      </c>
    </row>
    <row r="840" spans="1:6" ht="25.5" customHeight="1">
      <c r="A840" s="237" t="s">
        <v>961</v>
      </c>
      <c r="B840" s="238"/>
      <c r="C840" s="5">
        <f>C848</f>
        <v>150000</v>
      </c>
      <c r="D840" s="5">
        <f>D848</f>
        <v>150000</v>
      </c>
      <c r="E840" s="132">
        <f>E848</f>
        <v>78701.1</v>
      </c>
      <c r="F840" s="14">
        <f t="shared" si="63"/>
        <v>52.46740000000001</v>
      </c>
    </row>
    <row r="841" spans="1:6" ht="25.5" customHeight="1">
      <c r="A841" s="233" t="s">
        <v>1090</v>
      </c>
      <c r="B841" s="234"/>
      <c r="C841" s="62">
        <f>SUM(C842:C847)</f>
        <v>150000</v>
      </c>
      <c r="D841" s="62">
        <f>SUM(D842:D847)</f>
        <v>150000</v>
      </c>
      <c r="E841" s="130">
        <f>SUM(E842:E847)</f>
        <v>78701.1</v>
      </c>
      <c r="F841" s="14">
        <f aca="true" t="shared" si="64" ref="F841:F847">E841/D841*100</f>
        <v>52.46740000000001</v>
      </c>
    </row>
    <row r="842" spans="1:6" ht="18" customHeight="1">
      <c r="A842" s="229" t="s">
        <v>1025</v>
      </c>
      <c r="B842" s="230"/>
      <c r="C842" s="4">
        <v>0</v>
      </c>
      <c r="D842" s="4">
        <v>0</v>
      </c>
      <c r="E842" s="14">
        <v>78701.1</v>
      </c>
      <c r="F842" s="14" t="e">
        <f t="shared" si="64"/>
        <v>#DIV/0!</v>
      </c>
    </row>
    <row r="843" spans="1:6" ht="18" customHeight="1">
      <c r="A843" s="229" t="s">
        <v>1227</v>
      </c>
      <c r="B843" s="230"/>
      <c r="C843" s="4">
        <v>0</v>
      </c>
      <c r="D843" s="4">
        <v>0</v>
      </c>
      <c r="E843" s="14">
        <v>0</v>
      </c>
      <c r="F843" s="14" t="e">
        <f t="shared" si="64"/>
        <v>#DIV/0!</v>
      </c>
    </row>
    <row r="844" spans="1:6" ht="18" customHeight="1">
      <c r="A844" s="229" t="s">
        <v>1231</v>
      </c>
      <c r="B844" s="230"/>
      <c r="C844" s="4">
        <v>0</v>
      </c>
      <c r="D844" s="4">
        <v>0</v>
      </c>
      <c r="E844" s="14">
        <v>0</v>
      </c>
      <c r="F844" s="14" t="e">
        <f t="shared" si="64"/>
        <v>#DIV/0!</v>
      </c>
    </row>
    <row r="845" spans="1:6" ht="18" customHeight="1">
      <c r="A845" s="229" t="s">
        <v>1228</v>
      </c>
      <c r="B845" s="230"/>
      <c r="C845" s="4">
        <v>40000</v>
      </c>
      <c r="D845" s="4">
        <v>40000</v>
      </c>
      <c r="E845" s="14">
        <v>0</v>
      </c>
      <c r="F845" s="14">
        <f t="shared" si="64"/>
        <v>0</v>
      </c>
    </row>
    <row r="846" spans="1:6" ht="18" customHeight="1">
      <c r="A846" s="229" t="s">
        <v>1229</v>
      </c>
      <c r="B846" s="230"/>
      <c r="C846" s="4">
        <v>0</v>
      </c>
      <c r="D846" s="4">
        <v>0</v>
      </c>
      <c r="E846" s="14">
        <v>0</v>
      </c>
      <c r="F846" s="14" t="e">
        <f t="shared" si="64"/>
        <v>#DIV/0!</v>
      </c>
    </row>
    <row r="847" spans="1:6" ht="18" customHeight="1">
      <c r="A847" s="229" t="s">
        <v>1419</v>
      </c>
      <c r="B847" s="230"/>
      <c r="C847" s="4">
        <v>110000</v>
      </c>
      <c r="D847" s="4">
        <v>110000</v>
      </c>
      <c r="E847" s="14">
        <v>0</v>
      </c>
      <c r="F847" s="14">
        <f t="shared" si="64"/>
        <v>0</v>
      </c>
    </row>
    <row r="848" spans="1:6" ht="21" customHeight="1">
      <c r="A848" s="39">
        <v>42</v>
      </c>
      <c r="B848" s="3" t="s">
        <v>610</v>
      </c>
      <c r="C848" s="4">
        <v>150000</v>
      </c>
      <c r="D848" s="4">
        <v>150000</v>
      </c>
      <c r="E848" s="14">
        <f>E849</f>
        <v>78701.1</v>
      </c>
      <c r="F848" s="14">
        <f t="shared" si="63"/>
        <v>52.46740000000001</v>
      </c>
    </row>
    <row r="849" spans="1:6" ht="18" customHeight="1">
      <c r="A849" s="39" t="s">
        <v>169</v>
      </c>
      <c r="B849" s="3" t="s">
        <v>84</v>
      </c>
      <c r="C849" s="4">
        <v>0</v>
      </c>
      <c r="D849" s="4">
        <v>0</v>
      </c>
      <c r="E849" s="14">
        <f>E850</f>
        <v>78701.1</v>
      </c>
      <c r="F849" s="14" t="e">
        <f t="shared" si="63"/>
        <v>#DIV/0!</v>
      </c>
    </row>
    <row r="850" spans="1:6" ht="15" customHeight="1">
      <c r="A850" s="39" t="s">
        <v>297</v>
      </c>
      <c r="B850" s="3" t="s">
        <v>1000</v>
      </c>
      <c r="C850" s="4">
        <v>0</v>
      </c>
      <c r="D850" s="4">
        <v>0</v>
      </c>
      <c r="E850" s="14">
        <v>78701.1</v>
      </c>
      <c r="F850" s="14" t="e">
        <f t="shared" si="63"/>
        <v>#DIV/0!</v>
      </c>
    </row>
    <row r="851" spans="1:6" ht="25.5" customHeight="1">
      <c r="A851" s="237" t="s">
        <v>1426</v>
      </c>
      <c r="B851" s="238"/>
      <c r="C851" s="5">
        <f>C859</f>
        <v>70000</v>
      </c>
      <c r="D851" s="5">
        <f>D859</f>
        <v>70000</v>
      </c>
      <c r="E851" s="132">
        <f>E859</f>
        <v>0</v>
      </c>
      <c r="F851" s="14">
        <f>E851/D851*100</f>
        <v>0</v>
      </c>
    </row>
    <row r="852" spans="1:6" ht="25.5" customHeight="1">
      <c r="A852" s="233" t="s">
        <v>1091</v>
      </c>
      <c r="B852" s="234"/>
      <c r="C852" s="62">
        <f>SUM(C853:C858)</f>
        <v>70000</v>
      </c>
      <c r="D852" s="62">
        <f>SUM(D853:D858)</f>
        <v>70000</v>
      </c>
      <c r="E852" s="130">
        <f>SUM(E853:E858)</f>
        <v>0</v>
      </c>
      <c r="F852" s="14">
        <f aca="true" t="shared" si="65" ref="F852:F858">E852/D852*100</f>
        <v>0</v>
      </c>
    </row>
    <row r="853" spans="1:6" ht="18" customHeight="1">
      <c r="A853" s="229" t="s">
        <v>1025</v>
      </c>
      <c r="B853" s="230"/>
      <c r="C853" s="4">
        <v>0</v>
      </c>
      <c r="D853" s="4">
        <v>0</v>
      </c>
      <c r="E853" s="14">
        <v>0</v>
      </c>
      <c r="F853" s="14" t="e">
        <f t="shared" si="65"/>
        <v>#DIV/0!</v>
      </c>
    </row>
    <row r="854" spans="1:6" ht="18" customHeight="1">
      <c r="A854" s="229" t="s">
        <v>1227</v>
      </c>
      <c r="B854" s="230"/>
      <c r="C854" s="4">
        <v>70000</v>
      </c>
      <c r="D854" s="4">
        <v>70000</v>
      </c>
      <c r="E854" s="14">
        <v>0</v>
      </c>
      <c r="F854" s="14">
        <f t="shared" si="65"/>
        <v>0</v>
      </c>
    </row>
    <row r="855" spans="1:6" ht="18" customHeight="1">
      <c r="A855" s="229" t="s">
        <v>1231</v>
      </c>
      <c r="B855" s="230"/>
      <c r="C855" s="4">
        <v>0</v>
      </c>
      <c r="D855" s="4">
        <v>0</v>
      </c>
      <c r="E855" s="14">
        <v>0</v>
      </c>
      <c r="F855" s="14" t="e">
        <f t="shared" si="65"/>
        <v>#DIV/0!</v>
      </c>
    </row>
    <row r="856" spans="1:6" ht="18" customHeight="1">
      <c r="A856" s="229" t="s">
        <v>1228</v>
      </c>
      <c r="B856" s="230"/>
      <c r="C856" s="4">
        <v>0</v>
      </c>
      <c r="D856" s="4">
        <v>0</v>
      </c>
      <c r="E856" s="14">
        <v>0</v>
      </c>
      <c r="F856" s="14" t="e">
        <f t="shared" si="65"/>
        <v>#DIV/0!</v>
      </c>
    </row>
    <row r="857" spans="1:6" ht="18" customHeight="1">
      <c r="A857" s="229" t="s">
        <v>1229</v>
      </c>
      <c r="B857" s="230"/>
      <c r="C857" s="4">
        <v>0</v>
      </c>
      <c r="D857" s="4">
        <v>0</v>
      </c>
      <c r="E857" s="14">
        <v>0</v>
      </c>
      <c r="F857" s="14" t="e">
        <f t="shared" si="65"/>
        <v>#DIV/0!</v>
      </c>
    </row>
    <row r="858" spans="1:6" ht="18" customHeight="1">
      <c r="A858" s="229" t="s">
        <v>1234</v>
      </c>
      <c r="B858" s="230"/>
      <c r="C858" s="4">
        <v>0</v>
      </c>
      <c r="D858" s="4">
        <v>0</v>
      </c>
      <c r="E858" s="14">
        <v>0</v>
      </c>
      <c r="F858" s="14" t="e">
        <f t="shared" si="65"/>
        <v>#DIV/0!</v>
      </c>
    </row>
    <row r="859" spans="1:6" ht="21" customHeight="1">
      <c r="A859" s="39" t="s">
        <v>292</v>
      </c>
      <c r="B859" s="70" t="s">
        <v>1427</v>
      </c>
      <c r="C859" s="4">
        <v>70000</v>
      </c>
      <c r="D859" s="4">
        <v>70000</v>
      </c>
      <c r="E859" s="14">
        <f>E860</f>
        <v>0</v>
      </c>
      <c r="F859" s="14">
        <f aca="true" t="shared" si="66" ref="F859:F909">E859/D859*100</f>
        <v>0</v>
      </c>
    </row>
    <row r="860" spans="1:6" ht="18" customHeight="1">
      <c r="A860" s="39" t="s">
        <v>169</v>
      </c>
      <c r="B860" s="70" t="s">
        <v>84</v>
      </c>
      <c r="C860" s="4">
        <v>0</v>
      </c>
      <c r="D860" s="4">
        <v>0</v>
      </c>
      <c r="E860" s="14">
        <f>E861</f>
        <v>0</v>
      </c>
      <c r="F860" s="14" t="e">
        <f t="shared" si="66"/>
        <v>#DIV/0!</v>
      </c>
    </row>
    <row r="861" spans="1:6" ht="15" customHeight="1">
      <c r="A861" s="39" t="s">
        <v>297</v>
      </c>
      <c r="B861" s="70" t="s">
        <v>1428</v>
      </c>
      <c r="C861" s="4">
        <v>0</v>
      </c>
      <c r="D861" s="4">
        <v>0</v>
      </c>
      <c r="E861" s="14">
        <v>0</v>
      </c>
      <c r="F861" s="14" t="e">
        <f t="shared" si="66"/>
        <v>#DIV/0!</v>
      </c>
    </row>
    <row r="862" spans="1:6" ht="25.5" customHeight="1">
      <c r="A862" s="237" t="s">
        <v>1264</v>
      </c>
      <c r="B862" s="238"/>
      <c r="C862" s="5">
        <f>C870</f>
        <v>0</v>
      </c>
      <c r="D862" s="5">
        <f>D870</f>
        <v>0</v>
      </c>
      <c r="E862" s="132">
        <f>E870</f>
        <v>0</v>
      </c>
      <c r="F862" s="14" t="e">
        <f>E862/D862*100</f>
        <v>#DIV/0!</v>
      </c>
    </row>
    <row r="863" spans="1:6" ht="25.5" customHeight="1">
      <c r="A863" s="233" t="s">
        <v>1265</v>
      </c>
      <c r="B863" s="234"/>
      <c r="C863" s="62">
        <f>SUM(C864:C869)</f>
        <v>0</v>
      </c>
      <c r="D863" s="62">
        <f>SUM(D864:D869)</f>
        <v>0</v>
      </c>
      <c r="E863" s="130">
        <f>SUM(E864:E869)</f>
        <v>0</v>
      </c>
      <c r="F863" s="14" t="e">
        <f aca="true" t="shared" si="67" ref="F863:F872">E863/D863*100</f>
        <v>#DIV/0!</v>
      </c>
    </row>
    <row r="864" spans="1:6" ht="18" customHeight="1">
      <c r="A864" s="229" t="s">
        <v>1025</v>
      </c>
      <c r="B864" s="230"/>
      <c r="C864" s="4">
        <v>0</v>
      </c>
      <c r="D864" s="4">
        <v>0</v>
      </c>
      <c r="E864" s="14">
        <v>0</v>
      </c>
      <c r="F864" s="14" t="e">
        <f t="shared" si="67"/>
        <v>#DIV/0!</v>
      </c>
    </row>
    <row r="865" spans="1:6" ht="18" customHeight="1">
      <c r="A865" s="229" t="s">
        <v>1227</v>
      </c>
      <c r="B865" s="230"/>
      <c r="C865" s="4">
        <v>0</v>
      </c>
      <c r="D865" s="4">
        <v>0</v>
      </c>
      <c r="E865" s="14">
        <v>0</v>
      </c>
      <c r="F865" s="14" t="e">
        <f t="shared" si="67"/>
        <v>#DIV/0!</v>
      </c>
    </row>
    <row r="866" spans="1:6" ht="18" customHeight="1">
      <c r="A866" s="229" t="s">
        <v>1231</v>
      </c>
      <c r="B866" s="230"/>
      <c r="C866" s="4">
        <v>0</v>
      </c>
      <c r="D866" s="4">
        <v>0</v>
      </c>
      <c r="E866" s="14">
        <v>0</v>
      </c>
      <c r="F866" s="14" t="e">
        <f t="shared" si="67"/>
        <v>#DIV/0!</v>
      </c>
    </row>
    <row r="867" spans="1:6" ht="18" customHeight="1">
      <c r="A867" s="229" t="s">
        <v>1228</v>
      </c>
      <c r="B867" s="230"/>
      <c r="C867" s="4">
        <v>0</v>
      </c>
      <c r="D867" s="4">
        <v>0</v>
      </c>
      <c r="E867" s="14">
        <v>0</v>
      </c>
      <c r="F867" s="14" t="e">
        <f t="shared" si="67"/>
        <v>#DIV/0!</v>
      </c>
    </row>
    <row r="868" spans="1:6" ht="18" customHeight="1">
      <c r="A868" s="229" t="s">
        <v>1229</v>
      </c>
      <c r="B868" s="230"/>
      <c r="C868" s="4">
        <v>0</v>
      </c>
      <c r="D868" s="4">
        <v>0</v>
      </c>
      <c r="E868" s="14">
        <v>0</v>
      </c>
      <c r="F868" s="14" t="e">
        <f t="shared" si="67"/>
        <v>#DIV/0!</v>
      </c>
    </row>
    <row r="869" spans="1:6" ht="18" customHeight="1">
      <c r="A869" s="229" t="s">
        <v>1234</v>
      </c>
      <c r="B869" s="230"/>
      <c r="C869" s="4">
        <v>0</v>
      </c>
      <c r="D869" s="4">
        <v>0</v>
      </c>
      <c r="E869" s="14">
        <v>0</v>
      </c>
      <c r="F869" s="14" t="e">
        <f t="shared" si="67"/>
        <v>#DIV/0!</v>
      </c>
    </row>
    <row r="870" spans="1:6" ht="21" customHeight="1">
      <c r="A870" s="39" t="s">
        <v>615</v>
      </c>
      <c r="B870" s="70" t="s">
        <v>1266</v>
      </c>
      <c r="C870" s="4">
        <f aca="true" t="shared" si="68" ref="C870:E871">C871</f>
        <v>0</v>
      </c>
      <c r="D870" s="4">
        <f t="shared" si="68"/>
        <v>0</v>
      </c>
      <c r="E870" s="14">
        <f t="shared" si="68"/>
        <v>0</v>
      </c>
      <c r="F870" s="14" t="e">
        <f t="shared" si="67"/>
        <v>#DIV/0!</v>
      </c>
    </row>
    <row r="871" spans="1:6" ht="18" customHeight="1">
      <c r="A871" s="39" t="s">
        <v>633</v>
      </c>
      <c r="B871" s="70" t="s">
        <v>634</v>
      </c>
      <c r="C871" s="4">
        <v>0</v>
      </c>
      <c r="D871" s="4">
        <v>0</v>
      </c>
      <c r="E871" s="14">
        <f t="shared" si="68"/>
        <v>0</v>
      </c>
      <c r="F871" s="14" t="e">
        <f t="shared" si="67"/>
        <v>#DIV/0!</v>
      </c>
    </row>
    <row r="872" spans="1:6" ht="15" customHeight="1">
      <c r="A872" s="39" t="s">
        <v>995</v>
      </c>
      <c r="B872" s="70" t="s">
        <v>1267</v>
      </c>
      <c r="C872" s="4">
        <v>0</v>
      </c>
      <c r="D872" s="4">
        <v>0</v>
      </c>
      <c r="E872" s="14">
        <v>0</v>
      </c>
      <c r="F872" s="14" t="e">
        <f t="shared" si="67"/>
        <v>#DIV/0!</v>
      </c>
    </row>
    <row r="873" spans="1:6" ht="30" customHeight="1">
      <c r="A873" s="235" t="s">
        <v>962</v>
      </c>
      <c r="B873" s="236"/>
      <c r="C873" s="129">
        <f>C874+C895+C910+C939+C953+C971+C982+C999+C1010+C1034+C1045</f>
        <v>1371230</v>
      </c>
      <c r="D873" s="129">
        <f>D874+D895+D910+D939+D953+D971+D982+D999+D1010+D1034+D1045</f>
        <v>1371230</v>
      </c>
      <c r="E873" s="129">
        <f>E874+E895+E910+E939+E953+E971+E982+E999+E1010+E1034+E1045</f>
        <v>102790.7</v>
      </c>
      <c r="F873" s="14">
        <f t="shared" si="66"/>
        <v>7.496240601503759</v>
      </c>
    </row>
    <row r="874" spans="1:6" ht="25.5" customHeight="1">
      <c r="A874" s="237" t="s">
        <v>963</v>
      </c>
      <c r="B874" s="238"/>
      <c r="C874" s="5">
        <f>C882</f>
        <v>107650</v>
      </c>
      <c r="D874" s="5">
        <f>D882</f>
        <v>107650</v>
      </c>
      <c r="E874" s="132">
        <f>E882</f>
        <v>8108.99</v>
      </c>
      <c r="F874" s="14">
        <f t="shared" si="66"/>
        <v>7.532735717603344</v>
      </c>
    </row>
    <row r="875" spans="1:6" ht="25.5" customHeight="1">
      <c r="A875" s="233" t="s">
        <v>1092</v>
      </c>
      <c r="B875" s="234"/>
      <c r="C875" s="62">
        <f>SUM(C876:C881)</f>
        <v>107650</v>
      </c>
      <c r="D875" s="62">
        <f>SUM(D876:D881)</f>
        <v>107650</v>
      </c>
      <c r="E875" s="130">
        <f>SUM(E876:E881)</f>
        <v>8108.99</v>
      </c>
      <c r="F875" s="14">
        <f t="shared" si="66"/>
        <v>7.532735717603344</v>
      </c>
    </row>
    <row r="876" spans="1:6" ht="18" customHeight="1">
      <c r="A876" s="229" t="s">
        <v>1025</v>
      </c>
      <c r="B876" s="230"/>
      <c r="C876" s="4">
        <v>0</v>
      </c>
      <c r="D876" s="4">
        <v>0</v>
      </c>
      <c r="E876" s="14">
        <v>8108.99</v>
      </c>
      <c r="F876" s="14" t="e">
        <f t="shared" si="66"/>
        <v>#DIV/0!</v>
      </c>
    </row>
    <row r="877" spans="1:6" ht="18" customHeight="1">
      <c r="A877" s="229" t="s">
        <v>1227</v>
      </c>
      <c r="B877" s="230"/>
      <c r="C877" s="4">
        <v>107650</v>
      </c>
      <c r="D877" s="4">
        <v>107650</v>
      </c>
      <c r="E877" s="14">
        <v>0</v>
      </c>
      <c r="F877" s="14">
        <f t="shared" si="66"/>
        <v>0</v>
      </c>
    </row>
    <row r="878" spans="1:6" ht="18" customHeight="1">
      <c r="A878" s="229" t="s">
        <v>1231</v>
      </c>
      <c r="B878" s="230"/>
      <c r="C878" s="4">
        <v>0</v>
      </c>
      <c r="D878" s="4">
        <v>0</v>
      </c>
      <c r="E878" s="14">
        <v>0</v>
      </c>
      <c r="F878" s="14" t="e">
        <f t="shared" si="66"/>
        <v>#DIV/0!</v>
      </c>
    </row>
    <row r="879" spans="1:6" ht="18" customHeight="1">
      <c r="A879" s="229" t="s">
        <v>1228</v>
      </c>
      <c r="B879" s="230"/>
      <c r="C879" s="4">
        <v>0</v>
      </c>
      <c r="D879" s="4">
        <v>0</v>
      </c>
      <c r="E879" s="14">
        <v>0</v>
      </c>
      <c r="F879" s="14" t="e">
        <f t="shared" si="66"/>
        <v>#DIV/0!</v>
      </c>
    </row>
    <row r="880" spans="1:6" ht="18" customHeight="1">
      <c r="A880" s="229" t="s">
        <v>1229</v>
      </c>
      <c r="B880" s="230"/>
      <c r="C880" s="4">
        <v>0</v>
      </c>
      <c r="D880" s="4">
        <v>0</v>
      </c>
      <c r="E880" s="14">
        <v>0</v>
      </c>
      <c r="F880" s="14" t="e">
        <f t="shared" si="66"/>
        <v>#DIV/0!</v>
      </c>
    </row>
    <row r="881" spans="1:6" ht="18" customHeight="1">
      <c r="A881" s="229" t="s">
        <v>1234</v>
      </c>
      <c r="B881" s="230"/>
      <c r="C881" s="4">
        <v>0</v>
      </c>
      <c r="D881" s="4">
        <v>0</v>
      </c>
      <c r="E881" s="14">
        <v>0</v>
      </c>
      <c r="F881" s="14" t="e">
        <f t="shared" si="66"/>
        <v>#DIV/0!</v>
      </c>
    </row>
    <row r="882" spans="1:6" ht="21" customHeight="1">
      <c r="A882" s="39">
        <v>32</v>
      </c>
      <c r="B882" s="3" t="s">
        <v>63</v>
      </c>
      <c r="C882" s="4">
        <v>107650</v>
      </c>
      <c r="D882" s="4">
        <v>107650</v>
      </c>
      <c r="E882" s="14">
        <f>E883+E886+E892</f>
        <v>8108.99</v>
      </c>
      <c r="F882" s="14">
        <f t="shared" si="66"/>
        <v>7.532735717603344</v>
      </c>
    </row>
    <row r="883" spans="1:6" ht="18" customHeight="1">
      <c r="A883" s="39">
        <v>322</v>
      </c>
      <c r="B883" s="3" t="s">
        <v>70</v>
      </c>
      <c r="C883" s="4">
        <v>0</v>
      </c>
      <c r="D883" s="4">
        <v>0</v>
      </c>
      <c r="E883" s="14">
        <f>SUM(E884:E885)</f>
        <v>411.25</v>
      </c>
      <c r="F883" s="14" t="e">
        <f t="shared" si="66"/>
        <v>#DIV/0!</v>
      </c>
    </row>
    <row r="884" spans="1:6" ht="15" customHeight="1">
      <c r="A884" s="39">
        <v>3221</v>
      </c>
      <c r="B884" s="3" t="s">
        <v>694</v>
      </c>
      <c r="C884" s="4">
        <v>0</v>
      </c>
      <c r="D884" s="4">
        <v>0</v>
      </c>
      <c r="E884" s="14">
        <v>411.25</v>
      </c>
      <c r="F884" s="14" t="e">
        <f t="shared" si="66"/>
        <v>#DIV/0!</v>
      </c>
    </row>
    <row r="885" spans="1:6" ht="15" customHeight="1">
      <c r="A885" s="39">
        <v>3225</v>
      </c>
      <c r="B885" s="3" t="s">
        <v>99</v>
      </c>
      <c r="C885" s="4">
        <v>0</v>
      </c>
      <c r="D885" s="4">
        <v>0</v>
      </c>
      <c r="E885" s="14">
        <v>0</v>
      </c>
      <c r="F885" s="14" t="e">
        <f t="shared" si="66"/>
        <v>#DIV/0!</v>
      </c>
    </row>
    <row r="886" spans="1:6" ht="18" customHeight="1">
      <c r="A886" s="39">
        <v>323</v>
      </c>
      <c r="B886" s="3" t="s">
        <v>72</v>
      </c>
      <c r="C886" s="4">
        <v>0</v>
      </c>
      <c r="D886" s="4">
        <v>0</v>
      </c>
      <c r="E886" s="14">
        <f>SUM(E887:E891)</f>
        <v>7548.37</v>
      </c>
      <c r="F886" s="14" t="e">
        <f t="shared" si="66"/>
        <v>#DIV/0!</v>
      </c>
    </row>
    <row r="887" spans="1:6" ht="15" customHeight="1">
      <c r="A887" s="39" t="s">
        <v>709</v>
      </c>
      <c r="B887" s="3" t="s">
        <v>1093</v>
      </c>
      <c r="C887" s="4">
        <v>0</v>
      </c>
      <c r="D887" s="4">
        <v>0</v>
      </c>
      <c r="E887" s="14">
        <v>0</v>
      </c>
      <c r="F887" s="14" t="e">
        <f>E887/D887*100</f>
        <v>#DIV/0!</v>
      </c>
    </row>
    <row r="888" spans="1:6" ht="15" customHeight="1">
      <c r="A888" s="39">
        <v>3235</v>
      </c>
      <c r="B888" s="3" t="s">
        <v>1377</v>
      </c>
      <c r="C888" s="4">
        <v>0</v>
      </c>
      <c r="D888" s="4">
        <v>0</v>
      </c>
      <c r="E888" s="14">
        <v>148.5</v>
      </c>
      <c r="F888" s="14" t="e">
        <f t="shared" si="66"/>
        <v>#DIV/0!</v>
      </c>
    </row>
    <row r="889" spans="1:6" ht="15" customHeight="1">
      <c r="A889" s="39">
        <v>3237</v>
      </c>
      <c r="B889" s="3" t="s">
        <v>101</v>
      </c>
      <c r="C889" s="4">
        <v>0</v>
      </c>
      <c r="D889" s="4">
        <v>0</v>
      </c>
      <c r="E889" s="14">
        <v>7399.87</v>
      </c>
      <c r="F889" s="14" t="e">
        <f t="shared" si="66"/>
        <v>#DIV/0!</v>
      </c>
    </row>
    <row r="890" spans="1:6" ht="15" customHeight="1">
      <c r="A890" s="39" t="s">
        <v>674</v>
      </c>
      <c r="B890" s="3" t="s">
        <v>570</v>
      </c>
      <c r="C890" s="4">
        <v>0</v>
      </c>
      <c r="D890" s="4">
        <v>0</v>
      </c>
      <c r="E890" s="14">
        <v>0</v>
      </c>
      <c r="F890" s="14" t="e">
        <f>E890/D890*100</f>
        <v>#DIV/0!</v>
      </c>
    </row>
    <row r="891" spans="1:6" ht="15" customHeight="1">
      <c r="A891" s="39" t="s">
        <v>337</v>
      </c>
      <c r="B891" s="3" t="s">
        <v>154</v>
      </c>
      <c r="C891" s="4">
        <v>0</v>
      </c>
      <c r="D891" s="4">
        <v>0</v>
      </c>
      <c r="E891" s="14">
        <v>0</v>
      </c>
      <c r="F891" s="14" t="e">
        <f t="shared" si="66"/>
        <v>#DIV/0!</v>
      </c>
    </row>
    <row r="892" spans="1:6" ht="18" customHeight="1">
      <c r="A892" s="39">
        <v>329</v>
      </c>
      <c r="B892" s="3" t="s">
        <v>102</v>
      </c>
      <c r="C892" s="4">
        <v>0</v>
      </c>
      <c r="D892" s="4">
        <v>0</v>
      </c>
      <c r="E892" s="14">
        <f>SUM(E893:E894)</f>
        <v>149.37</v>
      </c>
      <c r="F892" s="14" t="e">
        <f t="shared" si="66"/>
        <v>#DIV/0!</v>
      </c>
    </row>
    <row r="893" spans="1:6" ht="15" customHeight="1">
      <c r="A893" s="39">
        <v>3293</v>
      </c>
      <c r="B893" s="3" t="s">
        <v>103</v>
      </c>
      <c r="C893" s="4">
        <v>0</v>
      </c>
      <c r="D893" s="4">
        <v>0</v>
      </c>
      <c r="E893" s="14">
        <v>149.37</v>
      </c>
      <c r="F893" s="14" t="e">
        <f t="shared" si="66"/>
        <v>#DIV/0!</v>
      </c>
    </row>
    <row r="894" spans="1:6" ht="15" customHeight="1">
      <c r="A894" s="39">
        <v>3299</v>
      </c>
      <c r="B894" s="3" t="s">
        <v>104</v>
      </c>
      <c r="C894" s="4">
        <v>0</v>
      </c>
      <c r="D894" s="4">
        <v>0</v>
      </c>
      <c r="E894" s="14">
        <v>0</v>
      </c>
      <c r="F894" s="14" t="e">
        <f t="shared" si="66"/>
        <v>#DIV/0!</v>
      </c>
    </row>
    <row r="895" spans="1:6" ht="25.5" customHeight="1">
      <c r="A895" s="237" t="s">
        <v>1095</v>
      </c>
      <c r="B895" s="238"/>
      <c r="C895" s="5">
        <f>C903</f>
        <v>5400</v>
      </c>
      <c r="D895" s="5">
        <f>D903</f>
        <v>5400</v>
      </c>
      <c r="E895" s="132">
        <f>E903</f>
        <v>0</v>
      </c>
      <c r="F895" s="14">
        <f t="shared" si="66"/>
        <v>0</v>
      </c>
    </row>
    <row r="896" spans="1:6" ht="25.5" customHeight="1">
      <c r="A896" s="233" t="s">
        <v>1094</v>
      </c>
      <c r="B896" s="234"/>
      <c r="C896" s="62">
        <f>SUM(C897:C902)</f>
        <v>5400</v>
      </c>
      <c r="D896" s="62">
        <f>SUM(D897:D902)</f>
        <v>5400</v>
      </c>
      <c r="E896" s="130">
        <f>SUM(E897:E902)</f>
        <v>0</v>
      </c>
      <c r="F896" s="14">
        <f aca="true" t="shared" si="69" ref="F896:F902">E896/D896*100</f>
        <v>0</v>
      </c>
    </row>
    <row r="897" spans="1:6" ht="18" customHeight="1">
      <c r="A897" s="229" t="s">
        <v>1025</v>
      </c>
      <c r="B897" s="230"/>
      <c r="C897" s="4">
        <v>0</v>
      </c>
      <c r="D897" s="4">
        <v>0</v>
      </c>
      <c r="E897" s="14">
        <v>0</v>
      </c>
      <c r="F897" s="14" t="e">
        <f t="shared" si="69"/>
        <v>#DIV/0!</v>
      </c>
    </row>
    <row r="898" spans="1:6" ht="18" customHeight="1">
      <c r="A898" s="229" t="s">
        <v>1227</v>
      </c>
      <c r="B898" s="230"/>
      <c r="C898" s="4">
        <v>5400</v>
      </c>
      <c r="D898" s="4">
        <v>5400</v>
      </c>
      <c r="E898" s="14">
        <v>0</v>
      </c>
      <c r="F898" s="14">
        <f t="shared" si="69"/>
        <v>0</v>
      </c>
    </row>
    <row r="899" spans="1:6" ht="18" customHeight="1">
      <c r="A899" s="229" t="s">
        <v>1231</v>
      </c>
      <c r="B899" s="230"/>
      <c r="C899" s="4">
        <v>0</v>
      </c>
      <c r="D899" s="4">
        <v>0</v>
      </c>
      <c r="E899" s="14">
        <v>0</v>
      </c>
      <c r="F899" s="14" t="e">
        <f t="shared" si="69"/>
        <v>#DIV/0!</v>
      </c>
    </row>
    <row r="900" spans="1:6" ht="18" customHeight="1">
      <c r="A900" s="229" t="s">
        <v>1228</v>
      </c>
      <c r="B900" s="230"/>
      <c r="C900" s="4">
        <v>0</v>
      </c>
      <c r="D900" s="4">
        <v>0</v>
      </c>
      <c r="E900" s="14">
        <v>0</v>
      </c>
      <c r="F900" s="14" t="e">
        <f t="shared" si="69"/>
        <v>#DIV/0!</v>
      </c>
    </row>
    <row r="901" spans="1:6" ht="18" customHeight="1">
      <c r="A901" s="229" t="s">
        <v>1229</v>
      </c>
      <c r="B901" s="230"/>
      <c r="C901" s="4">
        <v>0</v>
      </c>
      <c r="D901" s="4">
        <v>0</v>
      </c>
      <c r="E901" s="14">
        <v>0</v>
      </c>
      <c r="F901" s="14" t="e">
        <f t="shared" si="69"/>
        <v>#DIV/0!</v>
      </c>
    </row>
    <row r="902" spans="1:6" ht="18" customHeight="1">
      <c r="A902" s="229" t="s">
        <v>1234</v>
      </c>
      <c r="B902" s="230"/>
      <c r="C902" s="4">
        <v>0</v>
      </c>
      <c r="D902" s="4">
        <v>0</v>
      </c>
      <c r="E902" s="14">
        <v>0</v>
      </c>
      <c r="F902" s="14" t="e">
        <f t="shared" si="69"/>
        <v>#DIV/0!</v>
      </c>
    </row>
    <row r="903" spans="1:6" ht="21" customHeight="1">
      <c r="A903" s="39">
        <v>32</v>
      </c>
      <c r="B903" s="3" t="s">
        <v>63</v>
      </c>
      <c r="C903" s="4">
        <v>5400</v>
      </c>
      <c r="D903" s="4">
        <v>5400</v>
      </c>
      <c r="E903" s="14">
        <f>E904+E907</f>
        <v>0</v>
      </c>
      <c r="F903" s="14">
        <f t="shared" si="66"/>
        <v>0</v>
      </c>
    </row>
    <row r="904" spans="1:6" ht="18" customHeight="1">
      <c r="A904" s="39">
        <v>323</v>
      </c>
      <c r="B904" s="3" t="s">
        <v>72</v>
      </c>
      <c r="C904" s="4">
        <v>0</v>
      </c>
      <c r="D904" s="4">
        <v>0</v>
      </c>
      <c r="E904" s="14">
        <f>E905+E906</f>
        <v>0</v>
      </c>
      <c r="F904" s="14" t="e">
        <f t="shared" si="66"/>
        <v>#DIV/0!</v>
      </c>
    </row>
    <row r="905" spans="1:6" ht="15" customHeight="1">
      <c r="A905" s="39">
        <v>3237</v>
      </c>
      <c r="B905" s="3" t="s">
        <v>101</v>
      </c>
      <c r="C905" s="4">
        <v>0</v>
      </c>
      <c r="D905" s="4">
        <v>0</v>
      </c>
      <c r="E905" s="14">
        <v>0</v>
      </c>
      <c r="F905" s="14" t="e">
        <f t="shared" si="66"/>
        <v>#DIV/0!</v>
      </c>
    </row>
    <row r="906" spans="1:6" ht="15" customHeight="1">
      <c r="A906" s="39" t="s">
        <v>337</v>
      </c>
      <c r="B906" s="3" t="s">
        <v>154</v>
      </c>
      <c r="C906" s="4">
        <v>0</v>
      </c>
      <c r="D906" s="4">
        <v>0</v>
      </c>
      <c r="E906" s="14">
        <v>0</v>
      </c>
      <c r="F906" s="14" t="e">
        <f t="shared" si="66"/>
        <v>#DIV/0!</v>
      </c>
    </row>
    <row r="907" spans="1:6" ht="18" customHeight="1">
      <c r="A907" s="39">
        <v>329</v>
      </c>
      <c r="B907" s="3" t="s">
        <v>102</v>
      </c>
      <c r="C907" s="4">
        <f>SUM(C908:C909)</f>
        <v>0</v>
      </c>
      <c r="D907" s="4">
        <f>SUM(D908:D909)</f>
        <v>0</v>
      </c>
      <c r="E907" s="14">
        <f>SUM(E908:E909)</f>
        <v>0</v>
      </c>
      <c r="F907" s="14" t="e">
        <f t="shared" si="66"/>
        <v>#DIV/0!</v>
      </c>
    </row>
    <row r="908" spans="1:6" ht="15" customHeight="1">
      <c r="A908" s="39">
        <v>3293</v>
      </c>
      <c r="B908" s="3" t="s">
        <v>103</v>
      </c>
      <c r="C908" s="4">
        <v>0</v>
      </c>
      <c r="D908" s="4">
        <v>0</v>
      </c>
      <c r="E908" s="14">
        <v>0</v>
      </c>
      <c r="F908" s="14" t="e">
        <f t="shared" si="66"/>
        <v>#DIV/0!</v>
      </c>
    </row>
    <row r="909" spans="1:6" ht="15" customHeight="1">
      <c r="A909" s="39">
        <v>3299</v>
      </c>
      <c r="B909" s="3" t="s">
        <v>104</v>
      </c>
      <c r="C909" s="4">
        <v>0</v>
      </c>
      <c r="D909" s="4">
        <v>0</v>
      </c>
      <c r="E909" s="14">
        <v>0</v>
      </c>
      <c r="F909" s="14" t="e">
        <f t="shared" si="66"/>
        <v>#DIV/0!</v>
      </c>
    </row>
    <row r="910" spans="1:6" ht="25.5" customHeight="1">
      <c r="A910" s="237" t="s">
        <v>964</v>
      </c>
      <c r="B910" s="238"/>
      <c r="C910" s="5">
        <f>C918</f>
        <v>76980</v>
      </c>
      <c r="D910" s="5">
        <f>D918</f>
        <v>76980</v>
      </c>
      <c r="E910" s="132">
        <f>E918</f>
        <v>5225.860000000001</v>
      </c>
      <c r="F910" s="14">
        <f aca="true" t="shared" si="70" ref="F910:F939">E910/D910*100</f>
        <v>6.788594440114316</v>
      </c>
    </row>
    <row r="911" spans="1:6" ht="25.5" customHeight="1">
      <c r="A911" s="233" t="s">
        <v>1096</v>
      </c>
      <c r="B911" s="234"/>
      <c r="C911" s="62">
        <f>SUM(C912:C917)</f>
        <v>76980</v>
      </c>
      <c r="D911" s="62">
        <f>SUM(D912:D917)</f>
        <v>76980</v>
      </c>
      <c r="E911" s="130">
        <f>SUM(E912:E917)</f>
        <v>5225.86</v>
      </c>
      <c r="F911" s="14">
        <f t="shared" si="70"/>
        <v>6.788594440114315</v>
      </c>
    </row>
    <row r="912" spans="1:6" ht="18" customHeight="1">
      <c r="A912" s="229" t="s">
        <v>1025</v>
      </c>
      <c r="B912" s="230"/>
      <c r="C912" s="4">
        <v>0</v>
      </c>
      <c r="D912" s="4">
        <v>0</v>
      </c>
      <c r="E912" s="14">
        <v>5225.86</v>
      </c>
      <c r="F912" s="14" t="e">
        <f t="shared" si="70"/>
        <v>#DIV/0!</v>
      </c>
    </row>
    <row r="913" spans="1:6" ht="18" customHeight="1">
      <c r="A913" s="229" t="s">
        <v>1227</v>
      </c>
      <c r="B913" s="230"/>
      <c r="C913" s="4">
        <v>76980</v>
      </c>
      <c r="D913" s="4">
        <v>76980</v>
      </c>
      <c r="E913" s="14">
        <v>0</v>
      </c>
      <c r="F913" s="14">
        <f t="shared" si="70"/>
        <v>0</v>
      </c>
    </row>
    <row r="914" spans="1:6" ht="18" customHeight="1">
      <c r="A914" s="229" t="s">
        <v>1231</v>
      </c>
      <c r="B914" s="230"/>
      <c r="C914" s="4">
        <v>0</v>
      </c>
      <c r="D914" s="4">
        <v>0</v>
      </c>
      <c r="E914" s="14">
        <v>0</v>
      </c>
      <c r="F914" s="14" t="e">
        <f t="shared" si="70"/>
        <v>#DIV/0!</v>
      </c>
    </row>
    <row r="915" spans="1:6" ht="18" customHeight="1">
      <c r="A915" s="229" t="s">
        <v>1228</v>
      </c>
      <c r="B915" s="230"/>
      <c r="C915" s="4">
        <v>0</v>
      </c>
      <c r="D915" s="4">
        <v>0</v>
      </c>
      <c r="E915" s="14">
        <v>0</v>
      </c>
      <c r="F915" s="14" t="e">
        <f t="shared" si="70"/>
        <v>#DIV/0!</v>
      </c>
    </row>
    <row r="916" spans="1:6" ht="18" customHeight="1">
      <c r="A916" s="229" t="s">
        <v>1229</v>
      </c>
      <c r="B916" s="230"/>
      <c r="C916" s="4">
        <v>0</v>
      </c>
      <c r="D916" s="4">
        <v>0</v>
      </c>
      <c r="E916" s="14">
        <v>0</v>
      </c>
      <c r="F916" s="14" t="e">
        <f t="shared" si="70"/>
        <v>#DIV/0!</v>
      </c>
    </row>
    <row r="917" spans="1:6" ht="18" customHeight="1">
      <c r="A917" s="229" t="s">
        <v>1234</v>
      </c>
      <c r="B917" s="230"/>
      <c r="C917" s="4">
        <v>0</v>
      </c>
      <c r="D917" s="4">
        <v>0</v>
      </c>
      <c r="E917" s="14">
        <v>0</v>
      </c>
      <c r="F917" s="14" t="e">
        <f t="shared" si="70"/>
        <v>#DIV/0!</v>
      </c>
    </row>
    <row r="918" spans="1:6" ht="21" customHeight="1">
      <c r="A918" s="39">
        <v>38</v>
      </c>
      <c r="B918" s="70" t="s">
        <v>556</v>
      </c>
      <c r="C918" s="4">
        <v>76980</v>
      </c>
      <c r="D918" s="4">
        <v>76980</v>
      </c>
      <c r="E918" s="14">
        <f aca="true" t="shared" si="71" ref="C918:E920">E919</f>
        <v>5225.860000000001</v>
      </c>
      <c r="F918" s="14">
        <f t="shared" si="70"/>
        <v>6.788594440114316</v>
      </c>
    </row>
    <row r="919" spans="1:6" ht="18" customHeight="1">
      <c r="A919" s="39">
        <v>381</v>
      </c>
      <c r="B919" s="3" t="s">
        <v>67</v>
      </c>
      <c r="C919" s="4">
        <v>0</v>
      </c>
      <c r="D919" s="4">
        <v>0</v>
      </c>
      <c r="E919" s="14">
        <f t="shared" si="71"/>
        <v>5225.860000000001</v>
      </c>
      <c r="F919" s="14" t="e">
        <f t="shared" si="70"/>
        <v>#DIV/0!</v>
      </c>
    </row>
    <row r="920" spans="1:6" ht="15" customHeight="1">
      <c r="A920" s="39">
        <v>3811</v>
      </c>
      <c r="B920" s="3" t="s">
        <v>69</v>
      </c>
      <c r="C920" s="4">
        <f t="shared" si="71"/>
        <v>0</v>
      </c>
      <c r="D920" s="4">
        <f t="shared" si="71"/>
        <v>0</v>
      </c>
      <c r="E920" s="14">
        <f t="shared" si="71"/>
        <v>5225.860000000001</v>
      </c>
      <c r="F920" s="14" t="e">
        <f t="shared" si="70"/>
        <v>#DIV/0!</v>
      </c>
    </row>
    <row r="921" spans="1:6" ht="14.25" customHeight="1">
      <c r="A921" s="39">
        <v>38114</v>
      </c>
      <c r="B921" s="3" t="s">
        <v>105</v>
      </c>
      <c r="C921" s="4">
        <f>SUM(C922:C938)</f>
        <v>0</v>
      </c>
      <c r="D921" s="4">
        <f>SUM(D922:D938)</f>
        <v>0</v>
      </c>
      <c r="E921" s="14">
        <f>SUM(E922:E938)</f>
        <v>5225.860000000001</v>
      </c>
      <c r="F921" s="14" t="e">
        <f t="shared" si="70"/>
        <v>#DIV/0!</v>
      </c>
    </row>
    <row r="922" spans="1:6" ht="13.5" customHeight="1">
      <c r="A922" s="76"/>
      <c r="B922" s="75" t="s">
        <v>699</v>
      </c>
      <c r="C922" s="4">
        <v>0</v>
      </c>
      <c r="D922" s="4">
        <v>0</v>
      </c>
      <c r="E922" s="14">
        <v>0</v>
      </c>
      <c r="F922" s="14" t="e">
        <f t="shared" si="70"/>
        <v>#DIV/0!</v>
      </c>
    </row>
    <row r="923" spans="1:6" ht="13.5" customHeight="1">
      <c r="A923" s="76"/>
      <c r="B923" s="75" t="s">
        <v>107</v>
      </c>
      <c r="C923" s="4">
        <v>0</v>
      </c>
      <c r="D923" s="4">
        <v>0</v>
      </c>
      <c r="E923" s="14">
        <v>3200</v>
      </c>
      <c r="F923" s="14" t="e">
        <f t="shared" si="70"/>
        <v>#DIV/0!</v>
      </c>
    </row>
    <row r="924" spans="1:6" ht="13.5" customHeight="1">
      <c r="A924" s="76"/>
      <c r="B924" s="75" t="s">
        <v>106</v>
      </c>
      <c r="C924" s="4">
        <v>0</v>
      </c>
      <c r="D924" s="4">
        <v>0</v>
      </c>
      <c r="E924" s="14">
        <v>0</v>
      </c>
      <c r="F924" s="14" t="e">
        <f t="shared" si="70"/>
        <v>#DIV/0!</v>
      </c>
    </row>
    <row r="925" spans="1:6" ht="13.5" customHeight="1">
      <c r="A925" s="76"/>
      <c r="B925" s="75" t="s">
        <v>108</v>
      </c>
      <c r="C925" s="4">
        <v>0</v>
      </c>
      <c r="D925" s="4">
        <v>0</v>
      </c>
      <c r="E925" s="14">
        <v>0</v>
      </c>
      <c r="F925" s="14" t="e">
        <f t="shared" si="70"/>
        <v>#DIV/0!</v>
      </c>
    </row>
    <row r="926" spans="1:6" ht="13.5" customHeight="1">
      <c r="A926" s="76"/>
      <c r="B926" s="75" t="s">
        <v>697</v>
      </c>
      <c r="C926" s="4">
        <v>0</v>
      </c>
      <c r="D926" s="4">
        <v>0</v>
      </c>
      <c r="E926" s="14">
        <v>0</v>
      </c>
      <c r="F926" s="14" t="e">
        <f t="shared" si="70"/>
        <v>#DIV/0!</v>
      </c>
    </row>
    <row r="927" spans="1:6" ht="13.5" customHeight="1">
      <c r="A927" s="77"/>
      <c r="B927" s="75" t="s">
        <v>695</v>
      </c>
      <c r="C927" s="4">
        <v>0</v>
      </c>
      <c r="D927" s="4">
        <v>0</v>
      </c>
      <c r="E927" s="14">
        <v>583.73</v>
      </c>
      <c r="F927" s="14" t="e">
        <f t="shared" si="70"/>
        <v>#DIV/0!</v>
      </c>
    </row>
    <row r="928" spans="1:6" ht="13.5" customHeight="1">
      <c r="A928" s="77"/>
      <c r="B928" s="75" t="s">
        <v>766</v>
      </c>
      <c r="C928" s="4">
        <v>0</v>
      </c>
      <c r="D928" s="4">
        <v>0</v>
      </c>
      <c r="E928" s="14">
        <v>0</v>
      </c>
      <c r="F928" s="14" t="e">
        <f t="shared" si="70"/>
        <v>#DIV/0!</v>
      </c>
    </row>
    <row r="929" spans="1:6" ht="13.5" customHeight="1">
      <c r="A929" s="77"/>
      <c r="B929" s="75" t="s">
        <v>696</v>
      </c>
      <c r="C929" s="4">
        <v>0</v>
      </c>
      <c r="D929" s="4">
        <v>0</v>
      </c>
      <c r="E929" s="14">
        <v>0</v>
      </c>
      <c r="F929" s="14" t="e">
        <f t="shared" si="70"/>
        <v>#DIV/0!</v>
      </c>
    </row>
    <row r="930" spans="1:6" ht="13.5" customHeight="1">
      <c r="A930" s="77"/>
      <c r="B930" s="75" t="s">
        <v>767</v>
      </c>
      <c r="C930" s="4">
        <v>0</v>
      </c>
      <c r="D930" s="4">
        <v>0</v>
      </c>
      <c r="E930" s="14">
        <v>1442.13</v>
      </c>
      <c r="F930" s="14" t="e">
        <f t="shared" si="70"/>
        <v>#DIV/0!</v>
      </c>
    </row>
    <row r="931" spans="1:6" ht="13.5" customHeight="1">
      <c r="A931" s="77"/>
      <c r="B931" s="75" t="s">
        <v>698</v>
      </c>
      <c r="C931" s="4">
        <v>0</v>
      </c>
      <c r="D931" s="4">
        <v>0</v>
      </c>
      <c r="E931" s="14">
        <v>0</v>
      </c>
      <c r="F931" s="14" t="e">
        <f t="shared" si="70"/>
        <v>#DIV/0!</v>
      </c>
    </row>
    <row r="932" spans="1:6" ht="13.5" customHeight="1">
      <c r="A932" s="77"/>
      <c r="B932" s="75" t="s">
        <v>768</v>
      </c>
      <c r="C932" s="4">
        <v>0</v>
      </c>
      <c r="D932" s="4">
        <v>0</v>
      </c>
      <c r="E932" s="14">
        <v>0</v>
      </c>
      <c r="F932" s="14" t="e">
        <f t="shared" si="70"/>
        <v>#DIV/0!</v>
      </c>
    </row>
    <row r="933" spans="1:6" ht="13.5" customHeight="1">
      <c r="A933" s="77"/>
      <c r="B933" s="75" t="s">
        <v>769</v>
      </c>
      <c r="C933" s="4">
        <v>0</v>
      </c>
      <c r="D933" s="4">
        <v>0</v>
      </c>
      <c r="E933" s="14">
        <v>0</v>
      </c>
      <c r="F933" s="14" t="e">
        <f t="shared" si="70"/>
        <v>#DIV/0!</v>
      </c>
    </row>
    <row r="934" spans="1:6" ht="13.5" customHeight="1">
      <c r="A934" s="77"/>
      <c r="B934" s="75" t="s">
        <v>770</v>
      </c>
      <c r="C934" s="4">
        <v>0</v>
      </c>
      <c r="D934" s="4">
        <v>0</v>
      </c>
      <c r="E934" s="14">
        <v>0</v>
      </c>
      <c r="F934" s="14" t="e">
        <f t="shared" si="70"/>
        <v>#DIV/0!</v>
      </c>
    </row>
    <row r="935" spans="1:6" ht="13.5" customHeight="1">
      <c r="A935" s="77"/>
      <c r="B935" s="75" t="s">
        <v>561</v>
      </c>
      <c r="C935" s="4">
        <v>0</v>
      </c>
      <c r="D935" s="4">
        <v>0</v>
      </c>
      <c r="E935" s="14">
        <v>0</v>
      </c>
      <c r="F935" s="14" t="e">
        <f t="shared" si="70"/>
        <v>#DIV/0!</v>
      </c>
    </row>
    <row r="936" spans="1:6" ht="13.5" customHeight="1">
      <c r="A936" s="77"/>
      <c r="B936" s="75" t="s">
        <v>700</v>
      </c>
      <c r="C936" s="4">
        <v>0</v>
      </c>
      <c r="D936" s="4">
        <v>0</v>
      </c>
      <c r="E936" s="14">
        <v>0</v>
      </c>
      <c r="F936" s="14" t="e">
        <f t="shared" si="70"/>
        <v>#DIV/0!</v>
      </c>
    </row>
    <row r="937" spans="1:6" ht="13.5" customHeight="1">
      <c r="A937" s="77"/>
      <c r="B937" s="75" t="s">
        <v>997</v>
      </c>
      <c r="C937" s="4">
        <v>0</v>
      </c>
      <c r="D937" s="4">
        <v>0</v>
      </c>
      <c r="E937" s="14">
        <v>0</v>
      </c>
      <c r="F937" s="14" t="e">
        <f t="shared" si="70"/>
        <v>#DIV/0!</v>
      </c>
    </row>
    <row r="938" spans="1:6" ht="13.5" customHeight="1">
      <c r="A938" s="77"/>
      <c r="B938" s="75" t="s">
        <v>1097</v>
      </c>
      <c r="C938" s="4">
        <v>0</v>
      </c>
      <c r="D938" s="4">
        <v>0</v>
      </c>
      <c r="E938" s="14">
        <v>0</v>
      </c>
      <c r="F938" s="14" t="e">
        <f t="shared" si="70"/>
        <v>#DIV/0!</v>
      </c>
    </row>
    <row r="939" spans="1:6" ht="25.5" customHeight="1">
      <c r="A939" s="241" t="s">
        <v>965</v>
      </c>
      <c r="B939" s="242"/>
      <c r="C939" s="5">
        <f>C947</f>
        <v>10000</v>
      </c>
      <c r="D939" s="5">
        <f>D947</f>
        <v>10000</v>
      </c>
      <c r="E939" s="132">
        <f>E947</f>
        <v>0</v>
      </c>
      <c r="F939" s="14">
        <f t="shared" si="70"/>
        <v>0</v>
      </c>
    </row>
    <row r="940" spans="1:6" ht="25.5" customHeight="1">
      <c r="A940" s="233" t="s">
        <v>1098</v>
      </c>
      <c r="B940" s="234"/>
      <c r="C940" s="62">
        <f>SUM(C941:C946)</f>
        <v>10000</v>
      </c>
      <c r="D940" s="62">
        <f>SUM(D941:D946)</f>
        <v>10000</v>
      </c>
      <c r="E940" s="130">
        <f>SUM(E941:E946)</f>
        <v>0</v>
      </c>
      <c r="F940" s="14">
        <f aca="true" t="shared" si="72" ref="F940:F946">E940/D940*100</f>
        <v>0</v>
      </c>
    </row>
    <row r="941" spans="1:6" ht="18" customHeight="1">
      <c r="A941" s="229" t="s">
        <v>1025</v>
      </c>
      <c r="B941" s="230"/>
      <c r="C941" s="4">
        <v>10000</v>
      </c>
      <c r="D941" s="4">
        <v>10000</v>
      </c>
      <c r="E941" s="14">
        <v>0</v>
      </c>
      <c r="F941" s="14">
        <f t="shared" si="72"/>
        <v>0</v>
      </c>
    </row>
    <row r="942" spans="1:6" ht="18" customHeight="1">
      <c r="A942" s="229" t="s">
        <v>1227</v>
      </c>
      <c r="B942" s="230"/>
      <c r="C942" s="4">
        <v>0</v>
      </c>
      <c r="D942" s="4">
        <v>0</v>
      </c>
      <c r="E942" s="14">
        <v>0</v>
      </c>
      <c r="F942" s="14" t="e">
        <f t="shared" si="72"/>
        <v>#DIV/0!</v>
      </c>
    </row>
    <row r="943" spans="1:6" ht="18" customHeight="1">
      <c r="A943" s="229" t="s">
        <v>1231</v>
      </c>
      <c r="B943" s="230"/>
      <c r="C943" s="4">
        <v>0</v>
      </c>
      <c r="D943" s="4">
        <v>0</v>
      </c>
      <c r="E943" s="14">
        <v>0</v>
      </c>
      <c r="F943" s="14" t="e">
        <f t="shared" si="72"/>
        <v>#DIV/0!</v>
      </c>
    </row>
    <row r="944" spans="1:6" ht="18" customHeight="1">
      <c r="A944" s="229" t="s">
        <v>1228</v>
      </c>
      <c r="B944" s="230"/>
      <c r="C944" s="4">
        <v>0</v>
      </c>
      <c r="D944" s="4">
        <v>0</v>
      </c>
      <c r="E944" s="14">
        <v>0</v>
      </c>
      <c r="F944" s="14" t="e">
        <f t="shared" si="72"/>
        <v>#DIV/0!</v>
      </c>
    </row>
    <row r="945" spans="1:6" ht="18" customHeight="1">
      <c r="A945" s="229" t="s">
        <v>1229</v>
      </c>
      <c r="B945" s="230"/>
      <c r="C945" s="4">
        <v>0</v>
      </c>
      <c r="D945" s="4">
        <v>0</v>
      </c>
      <c r="E945" s="14">
        <v>0</v>
      </c>
      <c r="F945" s="14" t="e">
        <f t="shared" si="72"/>
        <v>#DIV/0!</v>
      </c>
    </row>
    <row r="946" spans="1:6" ht="18" customHeight="1">
      <c r="A946" s="229" t="s">
        <v>1234</v>
      </c>
      <c r="B946" s="230"/>
      <c r="C946" s="4">
        <v>0</v>
      </c>
      <c r="D946" s="4">
        <v>0</v>
      </c>
      <c r="E946" s="14">
        <v>0</v>
      </c>
      <c r="F946" s="14" t="e">
        <f t="shared" si="72"/>
        <v>#DIV/0!</v>
      </c>
    </row>
    <row r="947" spans="1:6" ht="21" customHeight="1">
      <c r="A947" s="39" t="s">
        <v>615</v>
      </c>
      <c r="B947" s="3" t="s">
        <v>617</v>
      </c>
      <c r="C947" s="4">
        <v>10000</v>
      </c>
      <c r="D947" s="4">
        <v>10000</v>
      </c>
      <c r="E947" s="14">
        <f>E948</f>
        <v>0</v>
      </c>
      <c r="F947" s="14">
        <f aca="true" t="shared" si="73" ref="F947:F982">E947/D947*100</f>
        <v>0</v>
      </c>
    </row>
    <row r="948" spans="1:6" ht="18" customHeight="1">
      <c r="A948" s="39" t="s">
        <v>616</v>
      </c>
      <c r="B948" s="3" t="s">
        <v>618</v>
      </c>
      <c r="C948" s="4">
        <v>0</v>
      </c>
      <c r="D948" s="4">
        <v>0</v>
      </c>
      <c r="E948" s="14">
        <f>SUM(E949:E952)</f>
        <v>0</v>
      </c>
      <c r="F948" s="14" t="e">
        <f t="shared" si="73"/>
        <v>#DIV/0!</v>
      </c>
    </row>
    <row r="949" spans="1:6" ht="15" customHeight="1">
      <c r="A949" s="39" t="s">
        <v>619</v>
      </c>
      <c r="B949" s="3" t="s">
        <v>624</v>
      </c>
      <c r="C949" s="4">
        <v>0</v>
      </c>
      <c r="D949" s="4">
        <v>0</v>
      </c>
      <c r="E949" s="14">
        <v>0</v>
      </c>
      <c r="F949" s="14" t="e">
        <f t="shared" si="73"/>
        <v>#DIV/0!</v>
      </c>
    </row>
    <row r="950" spans="1:6" ht="15" customHeight="1">
      <c r="A950" s="39" t="s">
        <v>619</v>
      </c>
      <c r="B950" s="3" t="s">
        <v>625</v>
      </c>
      <c r="C950" s="4">
        <v>0</v>
      </c>
      <c r="D950" s="4">
        <v>0</v>
      </c>
      <c r="E950" s="14">
        <v>0</v>
      </c>
      <c r="F950" s="14" t="e">
        <f t="shared" si="73"/>
        <v>#DIV/0!</v>
      </c>
    </row>
    <row r="951" spans="1:6" ht="15" customHeight="1">
      <c r="A951" s="39" t="s">
        <v>622</v>
      </c>
      <c r="B951" s="3" t="s">
        <v>626</v>
      </c>
      <c r="C951" s="4">
        <v>0</v>
      </c>
      <c r="D951" s="4">
        <v>0</v>
      </c>
      <c r="E951" s="14">
        <v>0</v>
      </c>
      <c r="F951" s="14" t="e">
        <f t="shared" si="73"/>
        <v>#DIV/0!</v>
      </c>
    </row>
    <row r="952" spans="1:6" ht="15" customHeight="1">
      <c r="A952" s="39" t="s">
        <v>622</v>
      </c>
      <c r="B952" s="3" t="s">
        <v>627</v>
      </c>
      <c r="C952" s="4">
        <v>0</v>
      </c>
      <c r="D952" s="4">
        <v>0</v>
      </c>
      <c r="E952" s="14">
        <v>0</v>
      </c>
      <c r="F952" s="14" t="e">
        <f t="shared" si="73"/>
        <v>#DIV/0!</v>
      </c>
    </row>
    <row r="953" spans="1:6" ht="25.5" customHeight="1">
      <c r="A953" s="237" t="s">
        <v>966</v>
      </c>
      <c r="B953" s="238"/>
      <c r="C953" s="5">
        <f>C961</f>
        <v>209200</v>
      </c>
      <c r="D953" s="5">
        <f>D961</f>
        <v>209200</v>
      </c>
      <c r="E953" s="132">
        <f>E961</f>
        <v>41007.02</v>
      </c>
      <c r="F953" s="14">
        <f t="shared" si="73"/>
        <v>19.60182600382409</v>
      </c>
    </row>
    <row r="954" spans="1:6" ht="25.5" customHeight="1">
      <c r="A954" s="233" t="s">
        <v>1099</v>
      </c>
      <c r="B954" s="234"/>
      <c r="C954" s="62">
        <f>SUM(C955:C960)</f>
        <v>209200</v>
      </c>
      <c r="D954" s="62">
        <f>SUM(D955:D960)</f>
        <v>209200</v>
      </c>
      <c r="E954" s="130">
        <f>SUM(E955:E960)</f>
        <v>41007.020000000004</v>
      </c>
      <c r="F954" s="14">
        <f t="shared" si="73"/>
        <v>19.601826003824094</v>
      </c>
    </row>
    <row r="955" spans="1:6" ht="18" customHeight="1">
      <c r="A955" s="229" t="s">
        <v>1025</v>
      </c>
      <c r="B955" s="230"/>
      <c r="C955" s="4">
        <v>0</v>
      </c>
      <c r="D955" s="4">
        <v>0</v>
      </c>
      <c r="E955" s="14">
        <v>1824.19</v>
      </c>
      <c r="F955" s="14" t="e">
        <f t="shared" si="73"/>
        <v>#DIV/0!</v>
      </c>
    </row>
    <row r="956" spans="1:6" ht="18" customHeight="1">
      <c r="A956" s="229" t="s">
        <v>1227</v>
      </c>
      <c r="B956" s="230"/>
      <c r="C956" s="4">
        <v>157700</v>
      </c>
      <c r="D956" s="4">
        <v>157700</v>
      </c>
      <c r="E956" s="14">
        <v>33191.58</v>
      </c>
      <c r="F956" s="14">
        <f t="shared" si="73"/>
        <v>21.04729232720355</v>
      </c>
    </row>
    <row r="957" spans="1:6" ht="18" customHeight="1">
      <c r="A957" s="229" t="s">
        <v>1231</v>
      </c>
      <c r="B957" s="230"/>
      <c r="C957" s="4">
        <v>8500</v>
      </c>
      <c r="D957" s="4">
        <v>8500</v>
      </c>
      <c r="E957" s="14">
        <v>5991.25</v>
      </c>
      <c r="F957" s="14">
        <f t="shared" si="73"/>
        <v>70.48529411764706</v>
      </c>
    </row>
    <row r="958" spans="1:6" ht="18" customHeight="1">
      <c r="A958" s="229" t="s">
        <v>1228</v>
      </c>
      <c r="B958" s="230"/>
      <c r="C958" s="4">
        <v>43000</v>
      </c>
      <c r="D958" s="4">
        <v>43000</v>
      </c>
      <c r="E958" s="14">
        <v>0</v>
      </c>
      <c r="F958" s="14">
        <f t="shared" si="73"/>
        <v>0</v>
      </c>
    </row>
    <row r="959" spans="1:6" ht="18" customHeight="1">
      <c r="A959" s="229" t="s">
        <v>1229</v>
      </c>
      <c r="B959" s="230"/>
      <c r="C959" s="4">
        <v>0</v>
      </c>
      <c r="D959" s="4">
        <v>0</v>
      </c>
      <c r="E959" s="14">
        <v>0</v>
      </c>
      <c r="F959" s="14" t="e">
        <f t="shared" si="73"/>
        <v>#DIV/0!</v>
      </c>
    </row>
    <row r="960" spans="1:6" ht="18" customHeight="1">
      <c r="A960" s="229" t="s">
        <v>1234</v>
      </c>
      <c r="B960" s="230"/>
      <c r="C960" s="4">
        <v>0</v>
      </c>
      <c r="D960" s="4">
        <v>0</v>
      </c>
      <c r="E960" s="14">
        <v>0</v>
      </c>
      <c r="F960" s="14" t="e">
        <f t="shared" si="73"/>
        <v>#DIV/0!</v>
      </c>
    </row>
    <row r="961" spans="1:6" ht="21" customHeight="1">
      <c r="A961" s="39">
        <v>32</v>
      </c>
      <c r="B961" s="70" t="s">
        <v>63</v>
      </c>
      <c r="C961" s="4">
        <v>209200</v>
      </c>
      <c r="D961" s="4">
        <v>209200</v>
      </c>
      <c r="E961" s="14">
        <f>E962+E965</f>
        <v>41007.02</v>
      </c>
      <c r="F961" s="14">
        <f t="shared" si="73"/>
        <v>19.60182600382409</v>
      </c>
    </row>
    <row r="962" spans="1:6" ht="18" customHeight="1">
      <c r="A962" s="39">
        <v>322</v>
      </c>
      <c r="B962" s="70" t="s">
        <v>70</v>
      </c>
      <c r="C962" s="4">
        <v>0</v>
      </c>
      <c r="D962" s="4">
        <v>0</v>
      </c>
      <c r="E962" s="14">
        <f>E963+E964</f>
        <v>19031.53</v>
      </c>
      <c r="F962" s="14" t="e">
        <f t="shared" si="73"/>
        <v>#DIV/0!</v>
      </c>
    </row>
    <row r="963" spans="1:6" ht="15" customHeight="1">
      <c r="A963" s="39" t="s">
        <v>272</v>
      </c>
      <c r="B963" s="70" t="s">
        <v>273</v>
      </c>
      <c r="C963" s="4">
        <v>0</v>
      </c>
      <c r="D963" s="4">
        <v>0</v>
      </c>
      <c r="E963" s="14">
        <v>11862.61</v>
      </c>
      <c r="F963" s="14" t="e">
        <f t="shared" si="73"/>
        <v>#DIV/0!</v>
      </c>
    </row>
    <row r="964" spans="1:6" ht="15" customHeight="1">
      <c r="A964" s="39">
        <v>3224</v>
      </c>
      <c r="B964" s="70" t="s">
        <v>71</v>
      </c>
      <c r="C964" s="4">
        <v>0</v>
      </c>
      <c r="D964" s="4">
        <v>0</v>
      </c>
      <c r="E964" s="14">
        <v>7168.92</v>
      </c>
      <c r="F964" s="14" t="e">
        <f t="shared" si="73"/>
        <v>#DIV/0!</v>
      </c>
    </row>
    <row r="965" spans="1:6" ht="18" customHeight="1">
      <c r="A965" s="39">
        <v>323</v>
      </c>
      <c r="B965" s="70" t="s">
        <v>72</v>
      </c>
      <c r="C965" s="4">
        <v>0</v>
      </c>
      <c r="D965" s="4">
        <v>0</v>
      </c>
      <c r="E965" s="14">
        <f>SUM(E966:E970)</f>
        <v>21975.489999999998</v>
      </c>
      <c r="F965" s="14" t="e">
        <f t="shared" si="73"/>
        <v>#DIV/0!</v>
      </c>
    </row>
    <row r="966" spans="1:6" ht="15" customHeight="1">
      <c r="A966" s="39">
        <v>3232</v>
      </c>
      <c r="B966" s="70" t="s">
        <v>73</v>
      </c>
      <c r="C966" s="4">
        <v>0</v>
      </c>
      <c r="D966" s="4">
        <v>0</v>
      </c>
      <c r="E966" s="14">
        <v>20151.3</v>
      </c>
      <c r="F966" s="14" t="e">
        <f t="shared" si="73"/>
        <v>#DIV/0!</v>
      </c>
    </row>
    <row r="967" spans="1:6" ht="15" customHeight="1">
      <c r="A967" s="39" t="s">
        <v>558</v>
      </c>
      <c r="B967" s="70" t="s">
        <v>628</v>
      </c>
      <c r="C967" s="4">
        <v>0</v>
      </c>
      <c r="D967" s="4">
        <v>0</v>
      </c>
      <c r="E967" s="14">
        <v>134.41</v>
      </c>
      <c r="F967" s="14" t="e">
        <f t="shared" si="73"/>
        <v>#DIV/0!</v>
      </c>
    </row>
    <row r="968" spans="1:6" ht="15" customHeight="1">
      <c r="A968" s="39" t="s">
        <v>597</v>
      </c>
      <c r="B968" s="70" t="s">
        <v>598</v>
      </c>
      <c r="C968" s="4">
        <v>0</v>
      </c>
      <c r="D968" s="4">
        <v>0</v>
      </c>
      <c r="E968" s="14">
        <v>445.5</v>
      </c>
      <c r="F968" s="14" t="e">
        <f t="shared" si="73"/>
        <v>#DIV/0!</v>
      </c>
    </row>
    <row r="969" spans="1:6" ht="15" customHeight="1">
      <c r="A969" s="39" t="s">
        <v>35</v>
      </c>
      <c r="B969" s="70" t="s">
        <v>274</v>
      </c>
      <c r="C969" s="4">
        <v>0</v>
      </c>
      <c r="D969" s="4">
        <v>0</v>
      </c>
      <c r="E969" s="14">
        <v>1244.28</v>
      </c>
      <c r="F969" s="14" t="e">
        <f t="shared" si="73"/>
        <v>#DIV/0!</v>
      </c>
    </row>
    <row r="970" spans="1:6" ht="15" customHeight="1">
      <c r="A970" s="39" t="s">
        <v>337</v>
      </c>
      <c r="B970" s="70" t="s">
        <v>629</v>
      </c>
      <c r="C970" s="4">
        <v>0</v>
      </c>
      <c r="D970" s="4">
        <v>0</v>
      </c>
      <c r="E970" s="14">
        <v>0</v>
      </c>
      <c r="F970" s="14" t="e">
        <f t="shared" si="73"/>
        <v>#DIV/0!</v>
      </c>
    </row>
    <row r="971" spans="1:6" ht="25.5" customHeight="1">
      <c r="A971" s="237" t="s">
        <v>967</v>
      </c>
      <c r="B971" s="238"/>
      <c r="C971" s="5">
        <f>C979</f>
        <v>40000</v>
      </c>
      <c r="D971" s="5">
        <f>D979</f>
        <v>40000</v>
      </c>
      <c r="E971" s="132">
        <f>E979</f>
        <v>2750</v>
      </c>
      <c r="F971" s="14">
        <f t="shared" si="73"/>
        <v>6.875000000000001</v>
      </c>
    </row>
    <row r="972" spans="1:6" ht="25.5" customHeight="1">
      <c r="A972" s="233" t="s">
        <v>1100</v>
      </c>
      <c r="B972" s="234"/>
      <c r="C972" s="62">
        <f>SUM(C973:C978)</f>
        <v>40000</v>
      </c>
      <c r="D972" s="62">
        <f>SUM(D973:D978)</f>
        <v>40000</v>
      </c>
      <c r="E972" s="130">
        <f>SUM(E973:E978)</f>
        <v>2750</v>
      </c>
      <c r="F972" s="14">
        <f t="shared" si="73"/>
        <v>6.875000000000001</v>
      </c>
    </row>
    <row r="973" spans="1:6" ht="18" customHeight="1">
      <c r="A973" s="229" t="s">
        <v>1025</v>
      </c>
      <c r="B973" s="230"/>
      <c r="C973" s="4">
        <v>0</v>
      </c>
      <c r="D973" s="4">
        <v>0</v>
      </c>
      <c r="E973" s="14">
        <v>2750</v>
      </c>
      <c r="F973" s="14" t="e">
        <f t="shared" si="73"/>
        <v>#DIV/0!</v>
      </c>
    </row>
    <row r="974" spans="1:6" ht="18" customHeight="1">
      <c r="A974" s="229" t="s">
        <v>1227</v>
      </c>
      <c r="B974" s="230"/>
      <c r="C974" s="4">
        <v>0</v>
      </c>
      <c r="D974" s="4">
        <v>0</v>
      </c>
      <c r="E974" s="14">
        <v>0</v>
      </c>
      <c r="F974" s="14" t="e">
        <f t="shared" si="73"/>
        <v>#DIV/0!</v>
      </c>
    </row>
    <row r="975" spans="1:6" ht="18" customHeight="1">
      <c r="A975" s="229" t="s">
        <v>1231</v>
      </c>
      <c r="B975" s="230"/>
      <c r="C975" s="4">
        <v>40000</v>
      </c>
      <c r="D975" s="4">
        <v>40000</v>
      </c>
      <c r="E975" s="14">
        <v>0</v>
      </c>
      <c r="F975" s="14">
        <f t="shared" si="73"/>
        <v>0</v>
      </c>
    </row>
    <row r="976" spans="1:6" ht="18" customHeight="1">
      <c r="A976" s="229" t="s">
        <v>1228</v>
      </c>
      <c r="B976" s="230"/>
      <c r="C976" s="4">
        <v>0</v>
      </c>
      <c r="D976" s="4">
        <v>0</v>
      </c>
      <c r="E976" s="14">
        <v>0</v>
      </c>
      <c r="F976" s="14" t="e">
        <f t="shared" si="73"/>
        <v>#DIV/0!</v>
      </c>
    </row>
    <row r="977" spans="1:6" ht="18" customHeight="1">
      <c r="A977" s="229" t="s">
        <v>1229</v>
      </c>
      <c r="B977" s="230"/>
      <c r="C977" s="4">
        <v>0</v>
      </c>
      <c r="D977" s="4">
        <v>0</v>
      </c>
      <c r="E977" s="14">
        <v>0</v>
      </c>
      <c r="F977" s="14" t="e">
        <f t="shared" si="73"/>
        <v>#DIV/0!</v>
      </c>
    </row>
    <row r="978" spans="1:6" ht="18" customHeight="1">
      <c r="A978" s="229" t="s">
        <v>1234</v>
      </c>
      <c r="B978" s="230"/>
      <c r="C978" s="4">
        <v>0</v>
      </c>
      <c r="D978" s="4">
        <v>0</v>
      </c>
      <c r="E978" s="14">
        <v>0</v>
      </c>
      <c r="F978" s="14" t="e">
        <f t="shared" si="73"/>
        <v>#DIV/0!</v>
      </c>
    </row>
    <row r="979" spans="1:6" ht="21" customHeight="1">
      <c r="A979" s="39">
        <v>45</v>
      </c>
      <c r="B979" s="70" t="s">
        <v>75</v>
      </c>
      <c r="C979" s="4">
        <v>40000</v>
      </c>
      <c r="D979" s="4">
        <v>40000</v>
      </c>
      <c r="E979" s="14">
        <f>E980</f>
        <v>2750</v>
      </c>
      <c r="F979" s="14">
        <f t="shared" si="73"/>
        <v>6.875000000000001</v>
      </c>
    </row>
    <row r="980" spans="1:6" ht="18" customHeight="1">
      <c r="A980" s="39">
        <v>451</v>
      </c>
      <c r="B980" s="70" t="s">
        <v>76</v>
      </c>
      <c r="C980" s="4">
        <v>0</v>
      </c>
      <c r="D980" s="4">
        <v>0</v>
      </c>
      <c r="E980" s="14">
        <f>E981</f>
        <v>2750</v>
      </c>
      <c r="F980" s="14" t="e">
        <f t="shared" si="73"/>
        <v>#DIV/0!</v>
      </c>
    </row>
    <row r="981" spans="1:6" ht="15" customHeight="1">
      <c r="A981" s="39">
        <v>4511</v>
      </c>
      <c r="B981" s="70" t="s">
        <v>328</v>
      </c>
      <c r="C981" s="4">
        <v>0</v>
      </c>
      <c r="D981" s="4">
        <v>0</v>
      </c>
      <c r="E981" s="14">
        <v>2750</v>
      </c>
      <c r="F981" s="14" t="e">
        <f t="shared" si="73"/>
        <v>#DIV/0!</v>
      </c>
    </row>
    <row r="982" spans="1:6" ht="25.5" customHeight="1">
      <c r="A982" s="237" t="s">
        <v>968</v>
      </c>
      <c r="B982" s="238"/>
      <c r="C982" s="5">
        <f>C990+C994</f>
        <v>170000</v>
      </c>
      <c r="D982" s="5">
        <f>D990+D994</f>
        <v>170000</v>
      </c>
      <c r="E982" s="132">
        <f>E990+E994</f>
        <v>3572.83</v>
      </c>
      <c r="F982" s="14">
        <f t="shared" si="73"/>
        <v>2.101664705882353</v>
      </c>
    </row>
    <row r="983" spans="1:6" ht="25.5" customHeight="1">
      <c r="A983" s="233" t="s">
        <v>1101</v>
      </c>
      <c r="B983" s="234"/>
      <c r="C983" s="62">
        <f>SUM(C984:C989)</f>
        <v>170000</v>
      </c>
      <c r="D983" s="62">
        <f>SUM(D984:D989)</f>
        <v>170000</v>
      </c>
      <c r="E983" s="130">
        <f>SUM(E984:E989)</f>
        <v>3572.83</v>
      </c>
      <c r="F983" s="14">
        <f aca="true" t="shared" si="74" ref="F983:F989">E983/D983*100</f>
        <v>2.101664705882353</v>
      </c>
    </row>
    <row r="984" spans="1:6" ht="18" customHeight="1">
      <c r="A984" s="229" t="s">
        <v>1025</v>
      </c>
      <c r="B984" s="230"/>
      <c r="C984" s="4">
        <v>0</v>
      </c>
      <c r="D984" s="4">
        <v>0</v>
      </c>
      <c r="E984" s="14">
        <v>3572.83</v>
      </c>
      <c r="F984" s="14" t="e">
        <f t="shared" si="74"/>
        <v>#DIV/0!</v>
      </c>
    </row>
    <row r="985" spans="1:6" ht="18" customHeight="1">
      <c r="A985" s="229" t="s">
        <v>1227</v>
      </c>
      <c r="B985" s="230"/>
      <c r="C985" s="4">
        <v>0</v>
      </c>
      <c r="D985" s="4">
        <v>0</v>
      </c>
      <c r="E985" s="14">
        <v>0</v>
      </c>
      <c r="F985" s="14" t="e">
        <f t="shared" si="74"/>
        <v>#DIV/0!</v>
      </c>
    </row>
    <row r="986" spans="1:6" ht="18" customHeight="1">
      <c r="A986" s="229" t="s">
        <v>1231</v>
      </c>
      <c r="B986" s="230"/>
      <c r="C986" s="4">
        <v>0</v>
      </c>
      <c r="D986" s="4">
        <v>0</v>
      </c>
      <c r="E986" s="14">
        <v>0</v>
      </c>
      <c r="F986" s="14" t="e">
        <f t="shared" si="74"/>
        <v>#DIV/0!</v>
      </c>
    </row>
    <row r="987" spans="1:6" ht="18" customHeight="1">
      <c r="A987" s="229" t="s">
        <v>1228</v>
      </c>
      <c r="B987" s="230"/>
      <c r="C987" s="4">
        <v>40000</v>
      </c>
      <c r="D987" s="4">
        <v>40000</v>
      </c>
      <c r="E987" s="14">
        <v>0</v>
      </c>
      <c r="F987" s="14">
        <f t="shared" si="74"/>
        <v>0</v>
      </c>
    </row>
    <row r="988" spans="1:6" ht="18" customHeight="1">
      <c r="A988" s="229" t="s">
        <v>1229</v>
      </c>
      <c r="B988" s="230"/>
      <c r="C988" s="4">
        <v>0</v>
      </c>
      <c r="D988" s="4">
        <v>0</v>
      </c>
      <c r="E988" s="14">
        <v>0</v>
      </c>
      <c r="F988" s="14" t="e">
        <f t="shared" si="74"/>
        <v>#DIV/0!</v>
      </c>
    </row>
    <row r="989" spans="1:6" ht="18" customHeight="1">
      <c r="A989" s="229" t="s">
        <v>1419</v>
      </c>
      <c r="B989" s="230"/>
      <c r="C989" s="4">
        <v>130000</v>
      </c>
      <c r="D989" s="4">
        <v>130000</v>
      </c>
      <c r="E989" s="14">
        <v>0</v>
      </c>
      <c r="F989" s="14">
        <f t="shared" si="74"/>
        <v>0</v>
      </c>
    </row>
    <row r="990" spans="1:6" ht="22.5" customHeight="1">
      <c r="A990" s="63">
        <v>3</v>
      </c>
      <c r="B990" s="64" t="s">
        <v>16</v>
      </c>
      <c r="C990" s="65">
        <f aca="true" t="shared" si="75" ref="C990:E992">C991</f>
        <v>0</v>
      </c>
      <c r="D990" s="65">
        <f t="shared" si="75"/>
        <v>0</v>
      </c>
      <c r="E990" s="83">
        <f t="shared" si="75"/>
        <v>0</v>
      </c>
      <c r="F990" s="14" t="e">
        <f aca="true" t="shared" si="76" ref="F990:F998">E990/D990*100</f>
        <v>#DIV/0!</v>
      </c>
    </row>
    <row r="991" spans="1:6" ht="21" customHeight="1">
      <c r="A991" s="39">
        <v>32</v>
      </c>
      <c r="B991" s="66" t="s">
        <v>43</v>
      </c>
      <c r="C991" s="4">
        <f t="shared" si="75"/>
        <v>0</v>
      </c>
      <c r="D991" s="4">
        <f t="shared" si="75"/>
        <v>0</v>
      </c>
      <c r="E991" s="14">
        <f t="shared" si="75"/>
        <v>0</v>
      </c>
      <c r="F991" s="14" t="e">
        <f t="shared" si="76"/>
        <v>#DIV/0!</v>
      </c>
    </row>
    <row r="992" spans="1:6" ht="17.25" customHeight="1">
      <c r="A992" s="39">
        <v>322</v>
      </c>
      <c r="B992" s="66" t="s">
        <v>47</v>
      </c>
      <c r="C992" s="4">
        <v>0</v>
      </c>
      <c r="D992" s="4">
        <v>0</v>
      </c>
      <c r="E992" s="14">
        <f t="shared" si="75"/>
        <v>0</v>
      </c>
      <c r="F992" s="14" t="e">
        <f t="shared" si="76"/>
        <v>#DIV/0!</v>
      </c>
    </row>
    <row r="993" spans="1:6" ht="15" customHeight="1">
      <c r="A993" s="39">
        <v>3225</v>
      </c>
      <c r="B993" s="66" t="s">
        <v>51</v>
      </c>
      <c r="C993" s="4">
        <v>0</v>
      </c>
      <c r="D993" s="4">
        <v>0</v>
      </c>
      <c r="E993" s="14">
        <v>0</v>
      </c>
      <c r="F993" s="14" t="e">
        <f t="shared" si="76"/>
        <v>#DIV/0!</v>
      </c>
    </row>
    <row r="994" spans="1:6" ht="22.5" customHeight="1">
      <c r="A994" s="63">
        <v>4</v>
      </c>
      <c r="B994" s="71" t="s">
        <v>74</v>
      </c>
      <c r="C994" s="65">
        <f aca="true" t="shared" si="77" ref="C994:E995">C995</f>
        <v>170000</v>
      </c>
      <c r="D994" s="65">
        <f t="shared" si="77"/>
        <v>170000</v>
      </c>
      <c r="E994" s="83">
        <f t="shared" si="77"/>
        <v>3572.83</v>
      </c>
      <c r="F994" s="14">
        <f t="shared" si="76"/>
        <v>2.101664705882353</v>
      </c>
    </row>
    <row r="995" spans="1:6" ht="21" customHeight="1">
      <c r="A995" s="39" t="s">
        <v>292</v>
      </c>
      <c r="B995" s="70" t="s">
        <v>293</v>
      </c>
      <c r="C995" s="4">
        <v>170000</v>
      </c>
      <c r="D995" s="4">
        <v>170000</v>
      </c>
      <c r="E995" s="14">
        <f t="shared" si="77"/>
        <v>3572.83</v>
      </c>
      <c r="F995" s="14">
        <f t="shared" si="76"/>
        <v>2.101664705882353</v>
      </c>
    </row>
    <row r="996" spans="1:6" ht="18" customHeight="1">
      <c r="A996" s="39" t="s">
        <v>166</v>
      </c>
      <c r="B996" s="70" t="s">
        <v>167</v>
      </c>
      <c r="C996" s="4">
        <v>0</v>
      </c>
      <c r="D996" s="4">
        <v>0</v>
      </c>
      <c r="E996" s="14">
        <f>E998+E997</f>
        <v>3572.83</v>
      </c>
      <c r="F996" s="14" t="e">
        <f t="shared" si="76"/>
        <v>#DIV/0!</v>
      </c>
    </row>
    <row r="997" spans="1:6" ht="15" customHeight="1">
      <c r="A997" s="39" t="s">
        <v>998</v>
      </c>
      <c r="B997" s="70" t="s">
        <v>999</v>
      </c>
      <c r="C997" s="4">
        <v>0</v>
      </c>
      <c r="D997" s="4">
        <v>0</v>
      </c>
      <c r="E997" s="14">
        <v>0</v>
      </c>
      <c r="F997" s="14" t="e">
        <f t="shared" si="76"/>
        <v>#DIV/0!</v>
      </c>
    </row>
    <row r="998" spans="1:6" ht="15" customHeight="1">
      <c r="A998" s="39" t="s">
        <v>168</v>
      </c>
      <c r="B998" s="70" t="s">
        <v>294</v>
      </c>
      <c r="C998" s="4">
        <v>0</v>
      </c>
      <c r="D998" s="4">
        <v>0</v>
      </c>
      <c r="E998" s="14">
        <v>3572.83</v>
      </c>
      <c r="F998" s="14" t="e">
        <f t="shared" si="76"/>
        <v>#DIV/0!</v>
      </c>
    </row>
    <row r="999" spans="1:6" ht="25.5" customHeight="1">
      <c r="A999" s="237" t="s">
        <v>969</v>
      </c>
      <c r="B999" s="238"/>
      <c r="C999" s="5">
        <f>C1007</f>
        <v>17000</v>
      </c>
      <c r="D999" s="5">
        <f>D1007</f>
        <v>17000</v>
      </c>
      <c r="E999" s="132">
        <f>E1007</f>
        <v>0</v>
      </c>
      <c r="F999" s="14">
        <f aca="true" t="shared" si="78" ref="F999:F1033">E999/D999*100</f>
        <v>0</v>
      </c>
    </row>
    <row r="1000" spans="1:6" ht="25.5" customHeight="1">
      <c r="A1000" s="233" t="s">
        <v>1102</v>
      </c>
      <c r="B1000" s="234"/>
      <c r="C1000" s="62">
        <f>SUM(C1001:C1006)</f>
        <v>17000</v>
      </c>
      <c r="D1000" s="62">
        <f>SUM(D1001:D1006)</f>
        <v>17000</v>
      </c>
      <c r="E1000" s="130">
        <f>SUM(E1001:E1006)</f>
        <v>0</v>
      </c>
      <c r="F1000" s="14">
        <f t="shared" si="78"/>
        <v>0</v>
      </c>
    </row>
    <row r="1001" spans="1:6" ht="18" customHeight="1">
      <c r="A1001" s="229" t="s">
        <v>1025</v>
      </c>
      <c r="B1001" s="230"/>
      <c r="C1001" s="4">
        <v>0</v>
      </c>
      <c r="D1001" s="4">
        <v>0</v>
      </c>
      <c r="E1001" s="14">
        <v>0</v>
      </c>
      <c r="F1001" s="14" t="e">
        <f t="shared" si="78"/>
        <v>#DIV/0!</v>
      </c>
    </row>
    <row r="1002" spans="1:6" ht="18" customHeight="1">
      <c r="A1002" s="229" t="s">
        <v>1227</v>
      </c>
      <c r="B1002" s="230"/>
      <c r="C1002" s="4">
        <v>2000</v>
      </c>
      <c r="D1002" s="4">
        <v>2000</v>
      </c>
      <c r="E1002" s="14">
        <v>0</v>
      </c>
      <c r="F1002" s="14">
        <f t="shared" si="78"/>
        <v>0</v>
      </c>
    </row>
    <row r="1003" spans="1:6" ht="18" customHeight="1">
      <c r="A1003" s="229" t="s">
        <v>1231</v>
      </c>
      <c r="B1003" s="230"/>
      <c r="C1003" s="4">
        <v>0</v>
      </c>
      <c r="D1003" s="4">
        <v>0</v>
      </c>
      <c r="E1003" s="14">
        <v>0</v>
      </c>
      <c r="F1003" s="14" t="e">
        <f t="shared" si="78"/>
        <v>#DIV/0!</v>
      </c>
    </row>
    <row r="1004" spans="1:6" ht="18" customHeight="1">
      <c r="A1004" s="229" t="s">
        <v>1228</v>
      </c>
      <c r="B1004" s="230"/>
      <c r="C1004" s="4">
        <v>15000</v>
      </c>
      <c r="D1004" s="4">
        <v>15000</v>
      </c>
      <c r="E1004" s="14">
        <v>0</v>
      </c>
      <c r="F1004" s="14">
        <f t="shared" si="78"/>
        <v>0</v>
      </c>
    </row>
    <row r="1005" spans="1:6" ht="18" customHeight="1">
      <c r="A1005" s="229" t="s">
        <v>1229</v>
      </c>
      <c r="B1005" s="230"/>
      <c r="C1005" s="4">
        <v>0</v>
      </c>
      <c r="D1005" s="4">
        <v>0</v>
      </c>
      <c r="E1005" s="14">
        <v>0</v>
      </c>
      <c r="F1005" s="14" t="e">
        <f t="shared" si="78"/>
        <v>#DIV/0!</v>
      </c>
    </row>
    <row r="1006" spans="1:6" ht="18" customHeight="1">
      <c r="A1006" s="229" t="s">
        <v>1234</v>
      </c>
      <c r="B1006" s="230"/>
      <c r="C1006" s="4">
        <v>0</v>
      </c>
      <c r="D1006" s="4">
        <v>0</v>
      </c>
      <c r="E1006" s="14">
        <v>0</v>
      </c>
      <c r="F1006" s="14" t="e">
        <f t="shared" si="78"/>
        <v>#DIV/0!</v>
      </c>
    </row>
    <row r="1007" spans="1:6" ht="21" customHeight="1">
      <c r="A1007" s="39">
        <v>45</v>
      </c>
      <c r="B1007" s="70" t="s">
        <v>75</v>
      </c>
      <c r="C1007" s="4">
        <v>17000</v>
      </c>
      <c r="D1007" s="4">
        <v>17000</v>
      </c>
      <c r="E1007" s="14">
        <f>E1008</f>
        <v>0</v>
      </c>
      <c r="F1007" s="14">
        <f t="shared" si="78"/>
        <v>0</v>
      </c>
    </row>
    <row r="1008" spans="1:6" ht="18" customHeight="1">
      <c r="A1008" s="39">
        <v>451</v>
      </c>
      <c r="B1008" s="70" t="s">
        <v>76</v>
      </c>
      <c r="C1008" s="4">
        <v>0</v>
      </c>
      <c r="D1008" s="4">
        <v>0</v>
      </c>
      <c r="E1008" s="14">
        <f>E1009</f>
        <v>0</v>
      </c>
      <c r="F1008" s="14" t="e">
        <f t="shared" si="78"/>
        <v>#DIV/0!</v>
      </c>
    </row>
    <row r="1009" spans="1:6" ht="15" customHeight="1">
      <c r="A1009" s="39">
        <v>4511</v>
      </c>
      <c r="B1009" s="70" t="s">
        <v>630</v>
      </c>
      <c r="C1009" s="4">
        <v>0</v>
      </c>
      <c r="D1009" s="4">
        <v>0</v>
      </c>
      <c r="E1009" s="14">
        <v>0</v>
      </c>
      <c r="F1009" s="14" t="e">
        <f t="shared" si="78"/>
        <v>#DIV/0!</v>
      </c>
    </row>
    <row r="1010" spans="1:6" ht="25.5" customHeight="1">
      <c r="A1010" s="237" t="s">
        <v>970</v>
      </c>
      <c r="B1010" s="238"/>
      <c r="C1010" s="5">
        <f>C1018+C1030</f>
        <v>15000</v>
      </c>
      <c r="D1010" s="5">
        <f>D1018+D1030</f>
        <v>15000</v>
      </c>
      <c r="E1010" s="132">
        <f>E1018+E1030</f>
        <v>9928.76</v>
      </c>
      <c r="F1010" s="14">
        <f t="shared" si="78"/>
        <v>66.19173333333333</v>
      </c>
    </row>
    <row r="1011" spans="1:6" ht="25.5" customHeight="1">
      <c r="A1011" s="233" t="s">
        <v>1376</v>
      </c>
      <c r="B1011" s="234"/>
      <c r="C1011" s="62">
        <f>SUM(C1012:C1017)</f>
        <v>15000</v>
      </c>
      <c r="D1011" s="62">
        <f>SUM(D1012:D1017)</f>
        <v>15000</v>
      </c>
      <c r="E1011" s="130">
        <f>SUM(E1012:E1017)</f>
        <v>9928.76</v>
      </c>
      <c r="F1011" s="14">
        <f aca="true" t="shared" si="79" ref="F1011:F1017">E1011/D1011*100</f>
        <v>66.19173333333333</v>
      </c>
    </row>
    <row r="1012" spans="1:6" ht="18" customHeight="1">
      <c r="A1012" s="229" t="s">
        <v>1025</v>
      </c>
      <c r="B1012" s="230"/>
      <c r="C1012" s="4">
        <v>0</v>
      </c>
      <c r="D1012" s="4">
        <v>0</v>
      </c>
      <c r="E1012" s="14">
        <v>0</v>
      </c>
      <c r="F1012" s="14" t="e">
        <f t="shared" si="79"/>
        <v>#DIV/0!</v>
      </c>
    </row>
    <row r="1013" spans="1:6" ht="18" customHeight="1">
      <c r="A1013" s="229" t="s">
        <v>1227</v>
      </c>
      <c r="B1013" s="230"/>
      <c r="C1013" s="4">
        <v>15000</v>
      </c>
      <c r="D1013" s="4">
        <v>15000</v>
      </c>
      <c r="E1013" s="14">
        <v>9928.76</v>
      </c>
      <c r="F1013" s="14">
        <f t="shared" si="79"/>
        <v>66.19173333333333</v>
      </c>
    </row>
    <row r="1014" spans="1:6" ht="18" customHeight="1">
      <c r="A1014" s="229" t="s">
        <v>1231</v>
      </c>
      <c r="B1014" s="230"/>
      <c r="C1014" s="4">
        <v>0</v>
      </c>
      <c r="D1014" s="4">
        <v>0</v>
      </c>
      <c r="E1014" s="14">
        <v>0</v>
      </c>
      <c r="F1014" s="14" t="e">
        <f t="shared" si="79"/>
        <v>#DIV/0!</v>
      </c>
    </row>
    <row r="1015" spans="1:6" ht="18" customHeight="1">
      <c r="A1015" s="229" t="s">
        <v>1228</v>
      </c>
      <c r="B1015" s="230"/>
      <c r="C1015" s="4">
        <v>0</v>
      </c>
      <c r="D1015" s="4">
        <v>0</v>
      </c>
      <c r="E1015" s="14">
        <v>0</v>
      </c>
      <c r="F1015" s="14" t="e">
        <f t="shared" si="79"/>
        <v>#DIV/0!</v>
      </c>
    </row>
    <row r="1016" spans="1:6" ht="18" customHeight="1">
      <c r="A1016" s="229" t="s">
        <v>1229</v>
      </c>
      <c r="B1016" s="230"/>
      <c r="C1016" s="4">
        <v>0</v>
      </c>
      <c r="D1016" s="4">
        <v>0</v>
      </c>
      <c r="E1016" s="14">
        <v>0</v>
      </c>
      <c r="F1016" s="14" t="e">
        <f t="shared" si="79"/>
        <v>#DIV/0!</v>
      </c>
    </row>
    <row r="1017" spans="1:6" ht="18" customHeight="1">
      <c r="A1017" s="229" t="s">
        <v>1234</v>
      </c>
      <c r="B1017" s="230"/>
      <c r="C1017" s="4">
        <v>0</v>
      </c>
      <c r="D1017" s="4">
        <v>0</v>
      </c>
      <c r="E1017" s="14">
        <v>0</v>
      </c>
      <c r="F1017" s="14" t="e">
        <f t="shared" si="79"/>
        <v>#DIV/0!</v>
      </c>
    </row>
    <row r="1018" spans="1:6" s="84" customFormat="1" ht="22.5" customHeight="1">
      <c r="A1018" s="63">
        <v>3</v>
      </c>
      <c r="B1018" s="78" t="s">
        <v>58</v>
      </c>
      <c r="C1018" s="65">
        <f>C1019+C1025</f>
        <v>15000</v>
      </c>
      <c r="D1018" s="65">
        <f>D1019+D1025</f>
        <v>15000</v>
      </c>
      <c r="E1018" s="83">
        <f>E1019+E1025</f>
        <v>9928.76</v>
      </c>
      <c r="F1018" s="83">
        <f t="shared" si="78"/>
        <v>66.19173333333333</v>
      </c>
    </row>
    <row r="1019" spans="1:6" ht="21" customHeight="1">
      <c r="A1019" s="39">
        <v>31</v>
      </c>
      <c r="B1019" s="74" t="s">
        <v>123</v>
      </c>
      <c r="C1019" s="4">
        <f>C1020+C1022</f>
        <v>0</v>
      </c>
      <c r="D1019" s="4">
        <f>D1020+D1022</f>
        <v>0</v>
      </c>
      <c r="E1019" s="14">
        <f>E1020+E1022</f>
        <v>0</v>
      </c>
      <c r="F1019" s="14" t="e">
        <f t="shared" si="78"/>
        <v>#DIV/0!</v>
      </c>
    </row>
    <row r="1020" spans="1:6" ht="18" customHeight="1">
      <c r="A1020" s="39">
        <v>311</v>
      </c>
      <c r="B1020" s="74" t="s">
        <v>324</v>
      </c>
      <c r="C1020" s="4">
        <f>C1021</f>
        <v>0</v>
      </c>
      <c r="D1020" s="4">
        <f>D1021</f>
        <v>0</v>
      </c>
      <c r="E1020" s="14">
        <f>E1021</f>
        <v>0</v>
      </c>
      <c r="F1020" s="14" t="e">
        <f t="shared" si="78"/>
        <v>#DIV/0!</v>
      </c>
    </row>
    <row r="1021" spans="1:6" ht="15" customHeight="1">
      <c r="A1021" s="39">
        <v>3111</v>
      </c>
      <c r="B1021" s="74" t="s">
        <v>124</v>
      </c>
      <c r="C1021" s="4">
        <v>0</v>
      </c>
      <c r="D1021" s="4">
        <v>0</v>
      </c>
      <c r="E1021" s="14">
        <v>0</v>
      </c>
      <c r="F1021" s="14" t="e">
        <f t="shared" si="78"/>
        <v>#DIV/0!</v>
      </c>
    </row>
    <row r="1022" spans="1:6" ht="18" customHeight="1">
      <c r="A1022" s="39">
        <v>313</v>
      </c>
      <c r="B1022" s="74" t="s">
        <v>127</v>
      </c>
      <c r="C1022" s="4">
        <f>SUM(C1023:C1024)</f>
        <v>0</v>
      </c>
      <c r="D1022" s="4">
        <f>SUM(D1023:D1024)</f>
        <v>0</v>
      </c>
      <c r="E1022" s="14">
        <f>SUM(E1023:E1024)</f>
        <v>0</v>
      </c>
      <c r="F1022" s="14" t="e">
        <f t="shared" si="78"/>
        <v>#DIV/0!</v>
      </c>
    </row>
    <row r="1023" spans="1:6" ht="15" customHeight="1">
      <c r="A1023" s="39">
        <v>3132</v>
      </c>
      <c r="B1023" s="70" t="s">
        <v>340</v>
      </c>
      <c r="C1023" s="4">
        <v>0</v>
      </c>
      <c r="D1023" s="4">
        <v>0</v>
      </c>
      <c r="E1023" s="14">
        <v>0</v>
      </c>
      <c r="F1023" s="14" t="e">
        <f t="shared" si="78"/>
        <v>#DIV/0!</v>
      </c>
    </row>
    <row r="1024" spans="1:6" ht="15" customHeight="1">
      <c r="A1024" s="39">
        <v>3133</v>
      </c>
      <c r="B1024" s="70" t="s">
        <v>341</v>
      </c>
      <c r="C1024" s="4">
        <v>0</v>
      </c>
      <c r="D1024" s="4">
        <v>0</v>
      </c>
      <c r="E1024" s="14">
        <v>0</v>
      </c>
      <c r="F1024" s="14" t="e">
        <f t="shared" si="78"/>
        <v>#DIV/0!</v>
      </c>
    </row>
    <row r="1025" spans="1:6" ht="21" customHeight="1">
      <c r="A1025" s="39">
        <v>32</v>
      </c>
      <c r="B1025" s="74" t="s">
        <v>271</v>
      </c>
      <c r="C1025" s="4">
        <v>15000</v>
      </c>
      <c r="D1025" s="4">
        <v>15000</v>
      </c>
      <c r="E1025" s="14">
        <f>E1026+E1028</f>
        <v>9928.76</v>
      </c>
      <c r="F1025" s="14">
        <f t="shared" si="78"/>
        <v>66.19173333333333</v>
      </c>
    </row>
    <row r="1026" spans="1:6" ht="18" customHeight="1">
      <c r="A1026" s="81">
        <v>321</v>
      </c>
      <c r="B1026" s="74" t="s">
        <v>143</v>
      </c>
      <c r="C1026" s="4">
        <v>0</v>
      </c>
      <c r="D1026" s="4">
        <v>0</v>
      </c>
      <c r="E1026" s="14">
        <f>E1027</f>
        <v>0</v>
      </c>
      <c r="F1026" s="14" t="e">
        <f t="shared" si="78"/>
        <v>#DIV/0!</v>
      </c>
    </row>
    <row r="1027" spans="1:6" ht="15" customHeight="1">
      <c r="A1027" s="81">
        <v>3212</v>
      </c>
      <c r="B1027" s="74" t="s">
        <v>145</v>
      </c>
      <c r="C1027" s="4">
        <v>0</v>
      </c>
      <c r="D1027" s="4">
        <v>0</v>
      </c>
      <c r="E1027" s="14">
        <v>0</v>
      </c>
      <c r="F1027" s="14" t="e">
        <f t="shared" si="78"/>
        <v>#DIV/0!</v>
      </c>
    </row>
    <row r="1028" spans="1:6" ht="18" customHeight="1">
      <c r="A1028" s="39" t="s">
        <v>134</v>
      </c>
      <c r="B1028" s="74" t="s">
        <v>0</v>
      </c>
      <c r="C1028" s="4">
        <f>C1029</f>
        <v>0</v>
      </c>
      <c r="D1028" s="4">
        <f>D1029</f>
        <v>0</v>
      </c>
      <c r="E1028" s="14">
        <f>E1029</f>
        <v>9928.76</v>
      </c>
      <c r="F1028" s="14" t="e">
        <f t="shared" si="78"/>
        <v>#DIV/0!</v>
      </c>
    </row>
    <row r="1029" spans="1:6" ht="15" customHeight="1">
      <c r="A1029" s="39" t="s">
        <v>35</v>
      </c>
      <c r="B1029" s="74" t="s">
        <v>274</v>
      </c>
      <c r="C1029" s="4">
        <v>0</v>
      </c>
      <c r="D1029" s="4">
        <v>0</v>
      </c>
      <c r="E1029" s="14">
        <v>9928.76</v>
      </c>
      <c r="F1029" s="14" t="e">
        <f t="shared" si="78"/>
        <v>#DIV/0!</v>
      </c>
    </row>
    <row r="1030" spans="1:6" ht="22.5" customHeight="1">
      <c r="A1030" s="63">
        <v>4</v>
      </c>
      <c r="B1030" s="71" t="s">
        <v>74</v>
      </c>
      <c r="C1030" s="65">
        <f aca="true" t="shared" si="80" ref="C1030:E1032">C1031</f>
        <v>0</v>
      </c>
      <c r="D1030" s="65">
        <f t="shared" si="80"/>
        <v>0</v>
      </c>
      <c r="E1030" s="83">
        <f t="shared" si="80"/>
        <v>0</v>
      </c>
      <c r="F1030" s="14" t="e">
        <f t="shared" si="78"/>
        <v>#DIV/0!</v>
      </c>
    </row>
    <row r="1031" spans="1:6" ht="21" customHeight="1">
      <c r="A1031" s="39">
        <v>45</v>
      </c>
      <c r="B1031" s="70" t="s">
        <v>75</v>
      </c>
      <c r="C1031" s="4">
        <f t="shared" si="80"/>
        <v>0</v>
      </c>
      <c r="D1031" s="4">
        <f t="shared" si="80"/>
        <v>0</v>
      </c>
      <c r="E1031" s="14">
        <f t="shared" si="80"/>
        <v>0</v>
      </c>
      <c r="F1031" s="14" t="e">
        <f t="shared" si="78"/>
        <v>#DIV/0!</v>
      </c>
    </row>
    <row r="1032" spans="1:6" ht="18" customHeight="1">
      <c r="A1032" s="39">
        <v>451</v>
      </c>
      <c r="B1032" s="70" t="s">
        <v>76</v>
      </c>
      <c r="C1032" s="4">
        <f t="shared" si="80"/>
        <v>0</v>
      </c>
      <c r="D1032" s="4">
        <f t="shared" si="80"/>
        <v>0</v>
      </c>
      <c r="E1032" s="14">
        <f t="shared" si="80"/>
        <v>0</v>
      </c>
      <c r="F1032" s="14" t="e">
        <f t="shared" si="78"/>
        <v>#DIV/0!</v>
      </c>
    </row>
    <row r="1033" spans="1:6" ht="15" customHeight="1">
      <c r="A1033" s="39">
        <v>4511</v>
      </c>
      <c r="B1033" s="70" t="s">
        <v>744</v>
      </c>
      <c r="C1033" s="4">
        <v>0</v>
      </c>
      <c r="D1033" s="4">
        <v>0</v>
      </c>
      <c r="E1033" s="14">
        <v>0</v>
      </c>
      <c r="F1033" s="14" t="e">
        <f t="shared" si="78"/>
        <v>#DIV/0!</v>
      </c>
    </row>
    <row r="1034" spans="1:6" ht="25.5" customHeight="1">
      <c r="A1034" s="237" t="s">
        <v>1104</v>
      </c>
      <c r="B1034" s="238"/>
      <c r="C1034" s="5">
        <f>C1042</f>
        <v>20000</v>
      </c>
      <c r="D1034" s="5">
        <f>D1042</f>
        <v>20000</v>
      </c>
      <c r="E1034" s="132">
        <f>E1042</f>
        <v>0</v>
      </c>
      <c r="F1034" s="14">
        <f>E1034/D1034*100</f>
        <v>0</v>
      </c>
    </row>
    <row r="1035" spans="1:6" ht="25.5" customHeight="1">
      <c r="A1035" s="233" t="s">
        <v>1103</v>
      </c>
      <c r="B1035" s="234"/>
      <c r="C1035" s="62">
        <f>SUM(C1036:C1041)</f>
        <v>20000</v>
      </c>
      <c r="D1035" s="62">
        <f>SUM(D1036:D1041)</f>
        <v>20000</v>
      </c>
      <c r="E1035" s="130">
        <f>SUM(E1036:E1041)</f>
        <v>0</v>
      </c>
      <c r="F1035" s="14">
        <f aca="true" t="shared" si="81" ref="F1035:F1041">E1035/D1035*100</f>
        <v>0</v>
      </c>
    </row>
    <row r="1036" spans="1:6" ht="18" customHeight="1">
      <c r="A1036" s="229" t="s">
        <v>1025</v>
      </c>
      <c r="B1036" s="230"/>
      <c r="C1036" s="4">
        <v>0</v>
      </c>
      <c r="D1036" s="4">
        <v>0</v>
      </c>
      <c r="E1036" s="14">
        <v>0</v>
      </c>
      <c r="F1036" s="14" t="e">
        <f t="shared" si="81"/>
        <v>#DIV/0!</v>
      </c>
    </row>
    <row r="1037" spans="1:6" ht="18" customHeight="1">
      <c r="A1037" s="229" t="s">
        <v>1227</v>
      </c>
      <c r="B1037" s="230"/>
      <c r="C1037" s="4">
        <v>20000</v>
      </c>
      <c r="D1037" s="4">
        <v>20000</v>
      </c>
      <c r="E1037" s="14">
        <v>0</v>
      </c>
      <c r="F1037" s="14">
        <f t="shared" si="81"/>
        <v>0</v>
      </c>
    </row>
    <row r="1038" spans="1:6" ht="18" customHeight="1">
      <c r="A1038" s="229" t="s">
        <v>1231</v>
      </c>
      <c r="B1038" s="230"/>
      <c r="C1038" s="4">
        <v>0</v>
      </c>
      <c r="D1038" s="4">
        <v>0</v>
      </c>
      <c r="E1038" s="14">
        <v>0</v>
      </c>
      <c r="F1038" s="14" t="e">
        <f t="shared" si="81"/>
        <v>#DIV/0!</v>
      </c>
    </row>
    <row r="1039" spans="1:6" ht="18" customHeight="1">
      <c r="A1039" s="229" t="s">
        <v>1228</v>
      </c>
      <c r="B1039" s="230"/>
      <c r="C1039" s="4">
        <v>0</v>
      </c>
      <c r="D1039" s="4">
        <v>0</v>
      </c>
      <c r="E1039" s="14">
        <v>0</v>
      </c>
      <c r="F1039" s="14" t="e">
        <f t="shared" si="81"/>
        <v>#DIV/0!</v>
      </c>
    </row>
    <row r="1040" spans="1:6" ht="18" customHeight="1">
      <c r="A1040" s="229" t="s">
        <v>1229</v>
      </c>
      <c r="B1040" s="230"/>
      <c r="C1040" s="4">
        <v>0</v>
      </c>
      <c r="D1040" s="4">
        <v>0</v>
      </c>
      <c r="E1040" s="14">
        <v>0</v>
      </c>
      <c r="F1040" s="14" t="e">
        <f t="shared" si="81"/>
        <v>#DIV/0!</v>
      </c>
    </row>
    <row r="1041" spans="1:6" ht="18" customHeight="1">
      <c r="A1041" s="229" t="s">
        <v>1234</v>
      </c>
      <c r="B1041" s="230"/>
      <c r="C1041" s="4">
        <v>0</v>
      </c>
      <c r="D1041" s="4">
        <v>0</v>
      </c>
      <c r="E1041" s="14">
        <v>0</v>
      </c>
      <c r="F1041" s="14" t="e">
        <f t="shared" si="81"/>
        <v>#DIV/0!</v>
      </c>
    </row>
    <row r="1042" spans="1:6" ht="21" customHeight="1">
      <c r="A1042" s="39">
        <v>45</v>
      </c>
      <c r="B1042" s="70" t="s">
        <v>75</v>
      </c>
      <c r="C1042" s="4">
        <v>20000</v>
      </c>
      <c r="D1042" s="4">
        <v>20000</v>
      </c>
      <c r="E1042" s="14">
        <f>E1043</f>
        <v>0</v>
      </c>
      <c r="F1042" s="14">
        <f>E1042/D1042*100</f>
        <v>0</v>
      </c>
    </row>
    <row r="1043" spans="1:6" ht="18" customHeight="1">
      <c r="A1043" s="39">
        <v>451</v>
      </c>
      <c r="B1043" s="70" t="s">
        <v>76</v>
      </c>
      <c r="C1043" s="4">
        <v>0</v>
      </c>
      <c r="D1043" s="4">
        <v>0</v>
      </c>
      <c r="E1043" s="14">
        <f>E1044</f>
        <v>0</v>
      </c>
      <c r="F1043" s="14" t="e">
        <f>E1043/D1043*100</f>
        <v>#DIV/0!</v>
      </c>
    </row>
    <row r="1044" spans="1:6" ht="15" customHeight="1">
      <c r="A1044" s="39">
        <v>4511</v>
      </c>
      <c r="B1044" s="70" t="s">
        <v>971</v>
      </c>
      <c r="C1044" s="4">
        <v>0</v>
      </c>
      <c r="D1044" s="4">
        <v>0</v>
      </c>
      <c r="E1044" s="14">
        <v>0</v>
      </c>
      <c r="F1044" s="14" t="e">
        <f>E1044/D1044*100</f>
        <v>#DIV/0!</v>
      </c>
    </row>
    <row r="1045" spans="1:6" ht="25.5" customHeight="1">
      <c r="A1045" s="237" t="s">
        <v>1429</v>
      </c>
      <c r="B1045" s="238"/>
      <c r="C1045" s="5">
        <f>C1053</f>
        <v>700000</v>
      </c>
      <c r="D1045" s="5">
        <f>D1053</f>
        <v>700000</v>
      </c>
      <c r="E1045" s="132">
        <f>E1053</f>
        <v>32197.24</v>
      </c>
      <c r="F1045" s="14">
        <f>E1045/D1045*100</f>
        <v>4.5996057142857145</v>
      </c>
    </row>
    <row r="1046" spans="1:6" ht="25.5" customHeight="1">
      <c r="A1046" s="233" t="s">
        <v>1430</v>
      </c>
      <c r="B1046" s="234"/>
      <c r="C1046" s="62">
        <f>SUM(C1047:C1052)</f>
        <v>700000</v>
      </c>
      <c r="D1046" s="62">
        <f>SUM(D1047:D1052)</f>
        <v>700000</v>
      </c>
      <c r="E1046" s="130">
        <f>SUM(E1047:E1052)</f>
        <v>32197.24</v>
      </c>
      <c r="F1046" s="14">
        <f aca="true" t="shared" si="82" ref="F1046:F1055">E1046/D1046*100</f>
        <v>4.5996057142857145</v>
      </c>
    </row>
    <row r="1047" spans="1:6" ht="18" customHeight="1">
      <c r="A1047" s="229" t="s">
        <v>1025</v>
      </c>
      <c r="B1047" s="230"/>
      <c r="C1047" s="4">
        <v>0</v>
      </c>
      <c r="D1047" s="4">
        <v>0</v>
      </c>
      <c r="E1047" s="14">
        <v>0</v>
      </c>
      <c r="F1047" s="14" t="e">
        <f t="shared" si="82"/>
        <v>#DIV/0!</v>
      </c>
    </row>
    <row r="1048" spans="1:6" ht="18" customHeight="1">
      <c r="A1048" s="229" t="s">
        <v>1227</v>
      </c>
      <c r="B1048" s="230"/>
      <c r="C1048" s="4">
        <v>0</v>
      </c>
      <c r="D1048" s="4">
        <v>0</v>
      </c>
      <c r="E1048" s="14">
        <v>32197.24</v>
      </c>
      <c r="F1048" s="14" t="e">
        <f t="shared" si="82"/>
        <v>#DIV/0!</v>
      </c>
    </row>
    <row r="1049" spans="1:6" ht="18" customHeight="1">
      <c r="A1049" s="229" t="s">
        <v>1231</v>
      </c>
      <c r="B1049" s="230"/>
      <c r="C1049" s="4">
        <v>0</v>
      </c>
      <c r="D1049" s="4">
        <v>0</v>
      </c>
      <c r="E1049" s="14">
        <v>0</v>
      </c>
      <c r="F1049" s="14" t="e">
        <f t="shared" si="82"/>
        <v>#DIV/0!</v>
      </c>
    </row>
    <row r="1050" spans="1:6" ht="18" customHeight="1">
      <c r="A1050" s="229" t="s">
        <v>1228</v>
      </c>
      <c r="B1050" s="230"/>
      <c r="C1050" s="4">
        <v>0</v>
      </c>
      <c r="D1050" s="4">
        <v>0</v>
      </c>
      <c r="E1050" s="14">
        <v>0</v>
      </c>
      <c r="F1050" s="14" t="e">
        <f t="shared" si="82"/>
        <v>#DIV/0!</v>
      </c>
    </row>
    <row r="1051" spans="1:6" ht="18" customHeight="1">
      <c r="A1051" s="229" t="s">
        <v>1229</v>
      </c>
      <c r="B1051" s="230"/>
      <c r="C1051" s="4">
        <v>0</v>
      </c>
      <c r="D1051" s="4">
        <v>0</v>
      </c>
      <c r="E1051" s="14">
        <v>0</v>
      </c>
      <c r="F1051" s="14" t="e">
        <f t="shared" si="82"/>
        <v>#DIV/0!</v>
      </c>
    </row>
    <row r="1052" spans="1:6" ht="18" customHeight="1">
      <c r="A1052" s="229" t="s">
        <v>1419</v>
      </c>
      <c r="B1052" s="230"/>
      <c r="C1052" s="4">
        <v>700000</v>
      </c>
      <c r="D1052" s="4">
        <v>700000</v>
      </c>
      <c r="E1052" s="14">
        <v>0</v>
      </c>
      <c r="F1052" s="14">
        <f t="shared" si="82"/>
        <v>0</v>
      </c>
    </row>
    <row r="1053" spans="1:6" ht="21" customHeight="1">
      <c r="A1053" s="39" t="s">
        <v>292</v>
      </c>
      <c r="B1053" s="70" t="s">
        <v>1427</v>
      </c>
      <c r="C1053" s="4">
        <v>700000</v>
      </c>
      <c r="D1053" s="4">
        <v>700000</v>
      </c>
      <c r="E1053" s="14">
        <f>E1054</f>
        <v>32197.24</v>
      </c>
      <c r="F1053" s="14">
        <f t="shared" si="82"/>
        <v>4.5996057142857145</v>
      </c>
    </row>
    <row r="1054" spans="1:6" ht="18" customHeight="1">
      <c r="A1054" s="39" t="s">
        <v>169</v>
      </c>
      <c r="B1054" s="70" t="s">
        <v>84</v>
      </c>
      <c r="C1054" s="4">
        <v>0</v>
      </c>
      <c r="D1054" s="4">
        <v>0</v>
      </c>
      <c r="E1054" s="14">
        <f>E1055</f>
        <v>32197.24</v>
      </c>
      <c r="F1054" s="14" t="e">
        <f t="shared" si="82"/>
        <v>#DIV/0!</v>
      </c>
    </row>
    <row r="1055" spans="1:6" ht="15" customHeight="1">
      <c r="A1055" s="39" t="s">
        <v>297</v>
      </c>
      <c r="B1055" s="70" t="s">
        <v>1428</v>
      </c>
      <c r="C1055" s="4">
        <v>0</v>
      </c>
      <c r="D1055" s="4">
        <v>0</v>
      </c>
      <c r="E1055" s="14">
        <v>32197.24</v>
      </c>
      <c r="F1055" s="14" t="e">
        <f t="shared" si="82"/>
        <v>#DIV/0!</v>
      </c>
    </row>
    <row r="1056" spans="1:6" ht="30" customHeight="1">
      <c r="A1056" s="246" t="s">
        <v>972</v>
      </c>
      <c r="B1056" s="247"/>
      <c r="C1056" s="61">
        <f>C1057</f>
        <v>25000</v>
      </c>
      <c r="D1056" s="61">
        <f>D1057</f>
        <v>25000</v>
      </c>
      <c r="E1056" s="129">
        <f>E1057</f>
        <v>0</v>
      </c>
      <c r="F1056" s="14">
        <f>E1056/D1056*100</f>
        <v>0</v>
      </c>
    </row>
    <row r="1057" spans="1:6" ht="25.5" customHeight="1">
      <c r="A1057" s="237" t="s">
        <v>973</v>
      </c>
      <c r="B1057" s="238"/>
      <c r="C1057" s="5">
        <f>C1065</f>
        <v>25000</v>
      </c>
      <c r="D1057" s="5">
        <f>D1065</f>
        <v>25000</v>
      </c>
      <c r="E1057" s="132">
        <f>E1065</f>
        <v>0</v>
      </c>
      <c r="F1057" s="14">
        <f>E1057/D1057*100</f>
        <v>0</v>
      </c>
    </row>
    <row r="1058" spans="1:6" ht="25.5" customHeight="1">
      <c r="A1058" s="233" t="s">
        <v>1105</v>
      </c>
      <c r="B1058" s="234"/>
      <c r="C1058" s="62">
        <f>SUM(C1059:C1064)</f>
        <v>25000</v>
      </c>
      <c r="D1058" s="62">
        <f>SUM(D1059:D1064)</f>
        <v>25000</v>
      </c>
      <c r="E1058" s="130">
        <f>SUM(E1059:E1064)</f>
        <v>0</v>
      </c>
      <c r="F1058" s="14">
        <f aca="true" t="shared" si="83" ref="F1058:F1064">E1058/D1058*100</f>
        <v>0</v>
      </c>
    </row>
    <row r="1059" spans="1:6" ht="18" customHeight="1">
      <c r="A1059" s="229" t="s">
        <v>1025</v>
      </c>
      <c r="B1059" s="230"/>
      <c r="C1059" s="4">
        <v>25000</v>
      </c>
      <c r="D1059" s="4">
        <v>25000</v>
      </c>
      <c r="E1059" s="14">
        <v>0</v>
      </c>
      <c r="F1059" s="14">
        <f t="shared" si="83"/>
        <v>0</v>
      </c>
    </row>
    <row r="1060" spans="1:6" ht="18" customHeight="1">
      <c r="A1060" s="229" t="s">
        <v>1227</v>
      </c>
      <c r="B1060" s="230"/>
      <c r="C1060" s="4">
        <v>0</v>
      </c>
      <c r="D1060" s="4">
        <v>0</v>
      </c>
      <c r="E1060" s="14">
        <v>0</v>
      </c>
      <c r="F1060" s="14" t="e">
        <f t="shared" si="83"/>
        <v>#DIV/0!</v>
      </c>
    </row>
    <row r="1061" spans="1:6" ht="18" customHeight="1">
      <c r="A1061" s="229" t="s">
        <v>1231</v>
      </c>
      <c r="B1061" s="230"/>
      <c r="C1061" s="4">
        <v>0</v>
      </c>
      <c r="D1061" s="4">
        <v>0</v>
      </c>
      <c r="E1061" s="14">
        <v>0</v>
      </c>
      <c r="F1061" s="14" t="e">
        <f t="shared" si="83"/>
        <v>#DIV/0!</v>
      </c>
    </row>
    <row r="1062" spans="1:6" ht="18" customHeight="1">
      <c r="A1062" s="229" t="s">
        <v>1228</v>
      </c>
      <c r="B1062" s="230"/>
      <c r="C1062" s="4">
        <v>0</v>
      </c>
      <c r="D1062" s="4">
        <v>0</v>
      </c>
      <c r="E1062" s="14">
        <v>0</v>
      </c>
      <c r="F1062" s="14" t="e">
        <f t="shared" si="83"/>
        <v>#DIV/0!</v>
      </c>
    </row>
    <row r="1063" spans="1:6" ht="18" customHeight="1">
      <c r="A1063" s="229" t="s">
        <v>1229</v>
      </c>
      <c r="B1063" s="230"/>
      <c r="C1063" s="4">
        <v>0</v>
      </c>
      <c r="D1063" s="4">
        <v>0</v>
      </c>
      <c r="E1063" s="14">
        <v>0</v>
      </c>
      <c r="F1063" s="14" t="e">
        <f t="shared" si="83"/>
        <v>#DIV/0!</v>
      </c>
    </row>
    <row r="1064" spans="1:6" ht="18" customHeight="1">
      <c r="A1064" s="229" t="s">
        <v>1234</v>
      </c>
      <c r="B1064" s="230"/>
      <c r="C1064" s="4">
        <v>0</v>
      </c>
      <c r="D1064" s="4">
        <v>0</v>
      </c>
      <c r="E1064" s="14">
        <v>0</v>
      </c>
      <c r="F1064" s="14" t="e">
        <f t="shared" si="83"/>
        <v>#DIV/0!</v>
      </c>
    </row>
    <row r="1065" spans="1:6" ht="21" customHeight="1">
      <c r="A1065" s="39">
        <v>38</v>
      </c>
      <c r="B1065" s="70" t="s">
        <v>556</v>
      </c>
      <c r="C1065" s="4">
        <v>25000</v>
      </c>
      <c r="D1065" s="4">
        <v>25000</v>
      </c>
      <c r="E1065" s="14">
        <f>E1066</f>
        <v>0</v>
      </c>
      <c r="F1065" s="14">
        <f aca="true" t="shared" si="84" ref="F1065:F1081">E1065/D1065*100</f>
        <v>0</v>
      </c>
    </row>
    <row r="1066" spans="1:6" ht="18" customHeight="1">
      <c r="A1066" s="39">
        <v>381</v>
      </c>
      <c r="B1066" s="74" t="s">
        <v>67</v>
      </c>
      <c r="C1066" s="4">
        <v>0</v>
      </c>
      <c r="D1066" s="4">
        <v>0</v>
      </c>
      <c r="E1066" s="14">
        <f>E1067</f>
        <v>0</v>
      </c>
      <c r="F1066" s="14" t="e">
        <f t="shared" si="84"/>
        <v>#DIV/0!</v>
      </c>
    </row>
    <row r="1067" spans="1:6" ht="15" customHeight="1">
      <c r="A1067" s="39">
        <v>3811</v>
      </c>
      <c r="B1067" s="74" t="s">
        <v>151</v>
      </c>
      <c r="C1067" s="4">
        <v>0</v>
      </c>
      <c r="D1067" s="4">
        <v>0</v>
      </c>
      <c r="E1067" s="14">
        <v>0</v>
      </c>
      <c r="F1067" s="14" t="e">
        <f t="shared" si="84"/>
        <v>#DIV/0!</v>
      </c>
    </row>
    <row r="1068" spans="1:6" ht="30" customHeight="1">
      <c r="A1068" s="235" t="s">
        <v>974</v>
      </c>
      <c r="B1068" s="236"/>
      <c r="C1068" s="61">
        <f>C1069+C1081</f>
        <v>37000</v>
      </c>
      <c r="D1068" s="61">
        <f>D1069+D1081</f>
        <v>37000</v>
      </c>
      <c r="E1068" s="129">
        <f>E1069+E1081</f>
        <v>8936.42</v>
      </c>
      <c r="F1068" s="14">
        <f t="shared" si="84"/>
        <v>24.152486486486488</v>
      </c>
    </row>
    <row r="1069" spans="1:6" ht="25.5" customHeight="1">
      <c r="A1069" s="237" t="s">
        <v>975</v>
      </c>
      <c r="B1069" s="238"/>
      <c r="C1069" s="5">
        <f>C1077</f>
        <v>14000</v>
      </c>
      <c r="D1069" s="5">
        <f>D1077</f>
        <v>14000</v>
      </c>
      <c r="E1069" s="132">
        <f>E1077</f>
        <v>6634.54</v>
      </c>
      <c r="F1069" s="14">
        <f t="shared" si="84"/>
        <v>47.38957142857143</v>
      </c>
    </row>
    <row r="1070" spans="1:6" ht="25.5" customHeight="1">
      <c r="A1070" s="233" t="s">
        <v>1106</v>
      </c>
      <c r="B1070" s="234"/>
      <c r="C1070" s="62">
        <f>SUM(C1071:C1076)</f>
        <v>14000</v>
      </c>
      <c r="D1070" s="62">
        <f>SUM(D1071:D1076)</f>
        <v>14000</v>
      </c>
      <c r="E1070" s="130">
        <f>SUM(E1071:E1076)</f>
        <v>6634.54</v>
      </c>
      <c r="F1070" s="14">
        <f t="shared" si="84"/>
        <v>47.38957142857143</v>
      </c>
    </row>
    <row r="1071" spans="1:6" ht="18" customHeight="1">
      <c r="A1071" s="229" t="s">
        <v>1025</v>
      </c>
      <c r="B1071" s="230"/>
      <c r="C1071" s="4">
        <v>14000</v>
      </c>
      <c r="D1071" s="4">
        <v>14000</v>
      </c>
      <c r="E1071" s="14">
        <v>6634.54</v>
      </c>
      <c r="F1071" s="14">
        <f t="shared" si="84"/>
        <v>47.38957142857143</v>
      </c>
    </row>
    <row r="1072" spans="1:6" ht="18" customHeight="1">
      <c r="A1072" s="229" t="s">
        <v>1227</v>
      </c>
      <c r="B1072" s="230"/>
      <c r="C1072" s="4">
        <v>0</v>
      </c>
      <c r="D1072" s="4">
        <v>0</v>
      </c>
      <c r="E1072" s="14">
        <v>0</v>
      </c>
      <c r="F1072" s="14" t="e">
        <f t="shared" si="84"/>
        <v>#DIV/0!</v>
      </c>
    </row>
    <row r="1073" spans="1:6" ht="18" customHeight="1">
      <c r="A1073" s="229" t="s">
        <v>1231</v>
      </c>
      <c r="B1073" s="230"/>
      <c r="C1073" s="4">
        <v>0</v>
      </c>
      <c r="D1073" s="4">
        <v>0</v>
      </c>
      <c r="E1073" s="14">
        <v>0</v>
      </c>
      <c r="F1073" s="14" t="e">
        <f t="shared" si="84"/>
        <v>#DIV/0!</v>
      </c>
    </row>
    <row r="1074" spans="1:6" ht="18" customHeight="1">
      <c r="A1074" s="229" t="s">
        <v>1228</v>
      </c>
      <c r="B1074" s="230"/>
      <c r="C1074" s="4">
        <v>0</v>
      </c>
      <c r="D1074" s="4">
        <v>0</v>
      </c>
      <c r="E1074" s="14">
        <v>0</v>
      </c>
      <c r="F1074" s="14" t="e">
        <f t="shared" si="84"/>
        <v>#DIV/0!</v>
      </c>
    </row>
    <row r="1075" spans="1:6" ht="18" customHeight="1">
      <c r="A1075" s="229" t="s">
        <v>1229</v>
      </c>
      <c r="B1075" s="230"/>
      <c r="C1075" s="4">
        <v>0</v>
      </c>
      <c r="D1075" s="4">
        <v>0</v>
      </c>
      <c r="E1075" s="14">
        <v>0</v>
      </c>
      <c r="F1075" s="14" t="e">
        <f t="shared" si="84"/>
        <v>#DIV/0!</v>
      </c>
    </row>
    <row r="1076" spans="1:6" ht="18" customHeight="1">
      <c r="A1076" s="229" t="s">
        <v>1234</v>
      </c>
      <c r="B1076" s="230"/>
      <c r="C1076" s="4">
        <v>0</v>
      </c>
      <c r="D1076" s="4">
        <v>0</v>
      </c>
      <c r="E1076" s="14">
        <v>0</v>
      </c>
      <c r="F1076" s="14" t="e">
        <f t="shared" si="84"/>
        <v>#DIV/0!</v>
      </c>
    </row>
    <row r="1077" spans="1:6" ht="21" customHeight="1">
      <c r="A1077" s="39">
        <v>38</v>
      </c>
      <c r="B1077" s="74" t="s">
        <v>66</v>
      </c>
      <c r="C1077" s="4">
        <v>14000</v>
      </c>
      <c r="D1077" s="4">
        <v>14000</v>
      </c>
      <c r="E1077" s="14">
        <f aca="true" t="shared" si="85" ref="C1077:E1079">E1078</f>
        <v>6634.54</v>
      </c>
      <c r="F1077" s="14">
        <f t="shared" si="84"/>
        <v>47.38957142857143</v>
      </c>
    </row>
    <row r="1078" spans="1:6" ht="18" customHeight="1">
      <c r="A1078" s="39">
        <v>381</v>
      </c>
      <c r="B1078" s="74" t="s">
        <v>67</v>
      </c>
      <c r="C1078" s="4">
        <v>0</v>
      </c>
      <c r="D1078" s="4">
        <v>0</v>
      </c>
      <c r="E1078" s="14">
        <f t="shared" si="85"/>
        <v>6634.54</v>
      </c>
      <c r="F1078" s="14" t="e">
        <f t="shared" si="84"/>
        <v>#DIV/0!</v>
      </c>
    </row>
    <row r="1079" spans="1:6" ht="15" customHeight="1">
      <c r="A1079" s="39">
        <v>3811</v>
      </c>
      <c r="B1079" s="74" t="s">
        <v>69</v>
      </c>
      <c r="C1079" s="4">
        <f t="shared" si="85"/>
        <v>0</v>
      </c>
      <c r="D1079" s="4">
        <f t="shared" si="85"/>
        <v>0</v>
      </c>
      <c r="E1079" s="14">
        <f t="shared" si="85"/>
        <v>6634.54</v>
      </c>
      <c r="F1079" s="14" t="e">
        <f t="shared" si="84"/>
        <v>#DIV/0!</v>
      </c>
    </row>
    <row r="1080" spans="1:6" ht="13.5" customHeight="1">
      <c r="A1080" s="74"/>
      <c r="B1080" s="74" t="s">
        <v>109</v>
      </c>
      <c r="C1080" s="4">
        <v>0</v>
      </c>
      <c r="D1080" s="4">
        <v>0</v>
      </c>
      <c r="E1080" s="14">
        <v>6634.54</v>
      </c>
      <c r="F1080" s="14" t="e">
        <f t="shared" si="84"/>
        <v>#DIV/0!</v>
      </c>
    </row>
    <row r="1081" spans="1:6" ht="25.5" customHeight="1">
      <c r="A1081" s="237" t="s">
        <v>976</v>
      </c>
      <c r="B1081" s="238"/>
      <c r="C1081" s="5">
        <f>C1089</f>
        <v>23000</v>
      </c>
      <c r="D1081" s="5">
        <f>D1089</f>
        <v>23000</v>
      </c>
      <c r="E1081" s="132">
        <f>E1089</f>
        <v>2301.88</v>
      </c>
      <c r="F1081" s="14">
        <f t="shared" si="84"/>
        <v>10.008173913043478</v>
      </c>
    </row>
    <row r="1082" spans="1:6" ht="25.5" customHeight="1">
      <c r="A1082" s="233" t="s">
        <v>1107</v>
      </c>
      <c r="B1082" s="234"/>
      <c r="C1082" s="62">
        <f>SUM(C1083:C1088)</f>
        <v>23000</v>
      </c>
      <c r="D1082" s="62">
        <f>SUM(D1083:D1088)</f>
        <v>23000</v>
      </c>
      <c r="E1082" s="130">
        <f>SUM(E1083:E1088)</f>
        <v>2301.88</v>
      </c>
      <c r="F1082" s="14">
        <f aca="true" t="shared" si="86" ref="F1082:F1088">E1082/D1082*100</f>
        <v>10.008173913043478</v>
      </c>
    </row>
    <row r="1083" spans="1:6" ht="18" customHeight="1">
      <c r="A1083" s="229" t="s">
        <v>1025</v>
      </c>
      <c r="B1083" s="230"/>
      <c r="C1083" s="4">
        <v>23000</v>
      </c>
      <c r="D1083" s="4">
        <v>23000</v>
      </c>
      <c r="E1083" s="14">
        <v>2301.88</v>
      </c>
      <c r="F1083" s="14">
        <f t="shared" si="86"/>
        <v>10.008173913043478</v>
      </c>
    </row>
    <row r="1084" spans="1:6" ht="18" customHeight="1">
      <c r="A1084" s="229" t="s">
        <v>1227</v>
      </c>
      <c r="B1084" s="230"/>
      <c r="C1084" s="4">
        <v>0</v>
      </c>
      <c r="D1084" s="4">
        <v>0</v>
      </c>
      <c r="E1084" s="14">
        <v>0</v>
      </c>
      <c r="F1084" s="14" t="e">
        <f t="shared" si="86"/>
        <v>#DIV/0!</v>
      </c>
    </row>
    <row r="1085" spans="1:6" ht="18" customHeight="1">
      <c r="A1085" s="229" t="s">
        <v>1231</v>
      </c>
      <c r="B1085" s="230"/>
      <c r="C1085" s="4">
        <v>0</v>
      </c>
      <c r="D1085" s="4">
        <v>0</v>
      </c>
      <c r="E1085" s="14">
        <v>0</v>
      </c>
      <c r="F1085" s="14" t="e">
        <f t="shared" si="86"/>
        <v>#DIV/0!</v>
      </c>
    </row>
    <row r="1086" spans="1:6" ht="18" customHeight="1">
      <c r="A1086" s="229" t="s">
        <v>1228</v>
      </c>
      <c r="B1086" s="230"/>
      <c r="C1086" s="4">
        <v>0</v>
      </c>
      <c r="D1086" s="4">
        <v>0</v>
      </c>
      <c r="E1086" s="14">
        <v>0</v>
      </c>
      <c r="F1086" s="14" t="e">
        <f t="shared" si="86"/>
        <v>#DIV/0!</v>
      </c>
    </row>
    <row r="1087" spans="1:6" ht="18" customHeight="1">
      <c r="A1087" s="229" t="s">
        <v>1229</v>
      </c>
      <c r="B1087" s="230"/>
      <c r="C1087" s="4">
        <v>0</v>
      </c>
      <c r="D1087" s="4">
        <v>0</v>
      </c>
      <c r="E1087" s="14">
        <v>0</v>
      </c>
      <c r="F1087" s="14" t="e">
        <f t="shared" si="86"/>
        <v>#DIV/0!</v>
      </c>
    </row>
    <row r="1088" spans="1:6" ht="18" customHeight="1">
      <c r="A1088" s="229" t="s">
        <v>1234</v>
      </c>
      <c r="B1088" s="230"/>
      <c r="C1088" s="4">
        <v>0</v>
      </c>
      <c r="D1088" s="4">
        <v>0</v>
      </c>
      <c r="E1088" s="14">
        <v>0</v>
      </c>
      <c r="F1088" s="14" t="e">
        <f t="shared" si="86"/>
        <v>#DIV/0!</v>
      </c>
    </row>
    <row r="1089" spans="1:6" ht="21" customHeight="1">
      <c r="A1089" s="39">
        <v>38</v>
      </c>
      <c r="B1089" s="70" t="s">
        <v>556</v>
      </c>
      <c r="C1089" s="4">
        <v>23000</v>
      </c>
      <c r="D1089" s="4">
        <v>23000</v>
      </c>
      <c r="E1089" s="14">
        <f>E1090</f>
        <v>2301.88</v>
      </c>
      <c r="F1089" s="14">
        <f>E1089/D1089*100</f>
        <v>10.008173913043478</v>
      </c>
    </row>
    <row r="1090" spans="1:6" ht="18" customHeight="1">
      <c r="A1090" s="39">
        <v>381</v>
      </c>
      <c r="B1090" s="74" t="s">
        <v>67</v>
      </c>
      <c r="C1090" s="4">
        <v>0</v>
      </c>
      <c r="D1090" s="4">
        <v>0</v>
      </c>
      <c r="E1090" s="14">
        <f>E1091</f>
        <v>2301.88</v>
      </c>
      <c r="F1090" s="14" t="e">
        <f>E1090/D1090*100</f>
        <v>#DIV/0!</v>
      </c>
    </row>
    <row r="1091" spans="1:6" ht="15" customHeight="1">
      <c r="A1091" s="39">
        <v>3811</v>
      </c>
      <c r="B1091" s="74" t="s">
        <v>69</v>
      </c>
      <c r="C1091" s="4">
        <f>SUM(C1092:C1100)</f>
        <v>0</v>
      </c>
      <c r="D1091" s="4">
        <f>SUM(D1092:D1100)</f>
        <v>0</v>
      </c>
      <c r="E1091" s="14">
        <f>SUM(E1092:E1100)</f>
        <v>2301.88</v>
      </c>
      <c r="F1091" s="14" t="e">
        <f>E1091/D1091*100</f>
        <v>#DIV/0!</v>
      </c>
    </row>
    <row r="1092" spans="1:6" ht="13.5" customHeight="1">
      <c r="A1092" s="76"/>
      <c r="B1092" s="79" t="s">
        <v>560</v>
      </c>
      <c r="C1092" s="4">
        <v>0</v>
      </c>
      <c r="D1092" s="4">
        <v>0</v>
      </c>
      <c r="E1092" s="14">
        <v>2301.88</v>
      </c>
      <c r="F1092" s="14" t="e">
        <f aca="true" t="shared" si="87" ref="F1092:F1203">E1092/D1092*100</f>
        <v>#DIV/0!</v>
      </c>
    </row>
    <row r="1093" spans="1:6" ht="13.5" customHeight="1">
      <c r="A1093" s="76"/>
      <c r="B1093" s="79" t="s">
        <v>279</v>
      </c>
      <c r="C1093" s="4">
        <v>0</v>
      </c>
      <c r="D1093" s="4">
        <v>0</v>
      </c>
      <c r="E1093" s="14">
        <v>0</v>
      </c>
      <c r="F1093" s="14" t="e">
        <f aca="true" t="shared" si="88" ref="F1093:F1100">E1093/D1093*100</f>
        <v>#DIV/0!</v>
      </c>
    </row>
    <row r="1094" spans="1:6" ht="13.5" customHeight="1">
      <c r="A1094" s="76"/>
      <c r="B1094" s="79" t="s">
        <v>771</v>
      </c>
      <c r="C1094" s="4">
        <v>0</v>
      </c>
      <c r="D1094" s="4">
        <v>0</v>
      </c>
      <c r="E1094" s="14">
        <v>0</v>
      </c>
      <c r="F1094" s="14" t="e">
        <f t="shared" si="88"/>
        <v>#DIV/0!</v>
      </c>
    </row>
    <row r="1095" spans="1:6" ht="13.5" customHeight="1">
      <c r="A1095" s="76"/>
      <c r="B1095" s="79" t="s">
        <v>772</v>
      </c>
      <c r="C1095" s="4">
        <v>0</v>
      </c>
      <c r="D1095" s="4">
        <v>0</v>
      </c>
      <c r="E1095" s="14">
        <v>0</v>
      </c>
      <c r="F1095" s="14" t="e">
        <f t="shared" si="88"/>
        <v>#DIV/0!</v>
      </c>
    </row>
    <row r="1096" spans="1:6" ht="13.5" customHeight="1">
      <c r="A1096" s="76"/>
      <c r="B1096" s="79" t="s">
        <v>138</v>
      </c>
      <c r="C1096" s="4">
        <v>0</v>
      </c>
      <c r="D1096" s="4">
        <v>0</v>
      </c>
      <c r="E1096" s="14">
        <v>0</v>
      </c>
      <c r="F1096" s="14" t="e">
        <f t="shared" si="88"/>
        <v>#DIV/0!</v>
      </c>
    </row>
    <row r="1097" spans="1:6" ht="13.5" customHeight="1">
      <c r="A1097" s="76"/>
      <c r="B1097" s="79" t="s">
        <v>773</v>
      </c>
      <c r="C1097" s="4">
        <v>0</v>
      </c>
      <c r="D1097" s="4">
        <v>0</v>
      </c>
      <c r="E1097" s="14">
        <v>0</v>
      </c>
      <c r="F1097" s="14" t="e">
        <f t="shared" si="88"/>
        <v>#DIV/0!</v>
      </c>
    </row>
    <row r="1098" spans="1:6" ht="13.5" customHeight="1">
      <c r="A1098" s="76"/>
      <c r="B1098" s="79" t="s">
        <v>1108</v>
      </c>
      <c r="C1098" s="4">
        <v>0</v>
      </c>
      <c r="D1098" s="4">
        <v>0</v>
      </c>
      <c r="E1098" s="14">
        <v>0</v>
      </c>
      <c r="F1098" s="14" t="e">
        <f t="shared" si="88"/>
        <v>#DIV/0!</v>
      </c>
    </row>
    <row r="1099" spans="1:6" ht="13.5" customHeight="1">
      <c r="A1099" s="76"/>
      <c r="B1099" s="79" t="s">
        <v>631</v>
      </c>
      <c r="C1099" s="4">
        <v>0</v>
      </c>
      <c r="D1099" s="4">
        <v>0</v>
      </c>
      <c r="E1099" s="14">
        <v>0</v>
      </c>
      <c r="F1099" s="14" t="e">
        <f t="shared" si="88"/>
        <v>#DIV/0!</v>
      </c>
    </row>
    <row r="1100" spans="1:6" ht="13.5" customHeight="1">
      <c r="A1100" s="76"/>
      <c r="B1100" s="79" t="s">
        <v>701</v>
      </c>
      <c r="C1100" s="4">
        <v>0</v>
      </c>
      <c r="D1100" s="4">
        <v>0</v>
      </c>
      <c r="E1100" s="14">
        <v>0</v>
      </c>
      <c r="F1100" s="14" t="e">
        <f t="shared" si="88"/>
        <v>#DIV/0!</v>
      </c>
    </row>
    <row r="1101" spans="1:6" ht="30" customHeight="1">
      <c r="A1101" s="235" t="s">
        <v>977</v>
      </c>
      <c r="B1101" s="236"/>
      <c r="C1101" s="61">
        <f>C1102+C1114+C1126</f>
        <v>91000</v>
      </c>
      <c r="D1101" s="61">
        <f>D1102+D1114+D1126</f>
        <v>91000</v>
      </c>
      <c r="E1101" s="129">
        <f>E1102+E1114+E1126</f>
        <v>54078.280000000006</v>
      </c>
      <c r="F1101" s="14">
        <f t="shared" si="87"/>
        <v>59.42668131868133</v>
      </c>
    </row>
    <row r="1102" spans="1:6" ht="25.5" customHeight="1">
      <c r="A1102" s="237" t="s">
        <v>978</v>
      </c>
      <c r="B1102" s="238"/>
      <c r="C1102" s="5">
        <f>C1110</f>
        <v>73000</v>
      </c>
      <c r="D1102" s="5">
        <f>D1110</f>
        <v>73000</v>
      </c>
      <c r="E1102" s="132">
        <f>E1110</f>
        <v>39997.48</v>
      </c>
      <c r="F1102" s="14">
        <f t="shared" si="87"/>
        <v>54.79106849315068</v>
      </c>
    </row>
    <row r="1103" spans="1:6" ht="25.5" customHeight="1">
      <c r="A1103" s="233" t="s">
        <v>1110</v>
      </c>
      <c r="B1103" s="234"/>
      <c r="C1103" s="62">
        <f>SUM(C1104:C1109)</f>
        <v>73000</v>
      </c>
      <c r="D1103" s="62">
        <f>SUM(D1104:D1109)</f>
        <v>73000</v>
      </c>
      <c r="E1103" s="130">
        <f>SUM(E1104:E1109)</f>
        <v>39997.48</v>
      </c>
      <c r="F1103" s="14">
        <f t="shared" si="87"/>
        <v>54.79106849315068</v>
      </c>
    </row>
    <row r="1104" spans="1:6" ht="18" customHeight="1">
      <c r="A1104" s="229" t="s">
        <v>1025</v>
      </c>
      <c r="B1104" s="230"/>
      <c r="C1104" s="4">
        <v>73000</v>
      </c>
      <c r="D1104" s="4">
        <v>73000</v>
      </c>
      <c r="E1104" s="14">
        <v>39997.48</v>
      </c>
      <c r="F1104" s="14">
        <f t="shared" si="87"/>
        <v>54.79106849315068</v>
      </c>
    </row>
    <row r="1105" spans="1:6" ht="18" customHeight="1">
      <c r="A1105" s="229" t="s">
        <v>1227</v>
      </c>
      <c r="B1105" s="230"/>
      <c r="C1105" s="4">
        <v>0</v>
      </c>
      <c r="D1105" s="4">
        <v>0</v>
      </c>
      <c r="E1105" s="14">
        <v>0</v>
      </c>
      <c r="F1105" s="14" t="e">
        <f t="shared" si="87"/>
        <v>#DIV/0!</v>
      </c>
    </row>
    <row r="1106" spans="1:6" ht="18" customHeight="1">
      <c r="A1106" s="229" t="s">
        <v>1231</v>
      </c>
      <c r="B1106" s="230"/>
      <c r="C1106" s="4">
        <v>0</v>
      </c>
      <c r="D1106" s="4">
        <v>0</v>
      </c>
      <c r="E1106" s="14">
        <v>0</v>
      </c>
      <c r="F1106" s="14" t="e">
        <f t="shared" si="87"/>
        <v>#DIV/0!</v>
      </c>
    </row>
    <row r="1107" spans="1:6" ht="18" customHeight="1">
      <c r="A1107" s="229" t="s">
        <v>1228</v>
      </c>
      <c r="B1107" s="230"/>
      <c r="C1107" s="4">
        <v>0</v>
      </c>
      <c r="D1107" s="4">
        <v>0</v>
      </c>
      <c r="E1107" s="14">
        <v>0</v>
      </c>
      <c r="F1107" s="14" t="e">
        <f t="shared" si="87"/>
        <v>#DIV/0!</v>
      </c>
    </row>
    <row r="1108" spans="1:6" ht="18" customHeight="1">
      <c r="A1108" s="229" t="s">
        <v>1229</v>
      </c>
      <c r="B1108" s="230"/>
      <c r="C1108" s="4">
        <v>0</v>
      </c>
      <c r="D1108" s="4">
        <v>0</v>
      </c>
      <c r="E1108" s="14">
        <v>0</v>
      </c>
      <c r="F1108" s="14" t="e">
        <f t="shared" si="87"/>
        <v>#DIV/0!</v>
      </c>
    </row>
    <row r="1109" spans="1:6" ht="18" customHeight="1">
      <c r="A1109" s="229" t="s">
        <v>1234</v>
      </c>
      <c r="B1109" s="230"/>
      <c r="C1109" s="4">
        <v>0</v>
      </c>
      <c r="D1109" s="4">
        <v>0</v>
      </c>
      <c r="E1109" s="14">
        <v>0</v>
      </c>
      <c r="F1109" s="14" t="e">
        <f t="shared" si="87"/>
        <v>#DIV/0!</v>
      </c>
    </row>
    <row r="1110" spans="1:6" ht="21" customHeight="1">
      <c r="A1110" s="39" t="s">
        <v>615</v>
      </c>
      <c r="B1110" s="3" t="s">
        <v>617</v>
      </c>
      <c r="C1110" s="4">
        <v>73000</v>
      </c>
      <c r="D1110" s="4">
        <v>73000</v>
      </c>
      <c r="E1110" s="14">
        <f>E1111</f>
        <v>39997.48</v>
      </c>
      <c r="F1110" s="14">
        <f t="shared" si="87"/>
        <v>54.79106849315068</v>
      </c>
    </row>
    <row r="1111" spans="1:6" ht="18" customHeight="1">
      <c r="A1111" s="39" t="s">
        <v>616</v>
      </c>
      <c r="B1111" s="3" t="s">
        <v>618</v>
      </c>
      <c r="C1111" s="4">
        <v>0</v>
      </c>
      <c r="D1111" s="4">
        <v>0</v>
      </c>
      <c r="E1111" s="14">
        <f>E1113+E1112</f>
        <v>39997.48</v>
      </c>
      <c r="F1111" s="14" t="e">
        <f t="shared" si="87"/>
        <v>#DIV/0!</v>
      </c>
    </row>
    <row r="1112" spans="1:6" ht="15" customHeight="1">
      <c r="A1112" s="39" t="s">
        <v>619</v>
      </c>
      <c r="B1112" s="74" t="s">
        <v>994</v>
      </c>
      <c r="C1112" s="4">
        <v>0</v>
      </c>
      <c r="D1112" s="4">
        <v>0</v>
      </c>
      <c r="E1112" s="14">
        <v>0</v>
      </c>
      <c r="F1112" s="14" t="e">
        <f>E1112/D1112*100</f>
        <v>#DIV/0!</v>
      </c>
    </row>
    <row r="1113" spans="1:6" ht="15" customHeight="1">
      <c r="A1113" s="39" t="s">
        <v>622</v>
      </c>
      <c r="B1113" s="74" t="s">
        <v>632</v>
      </c>
      <c r="C1113" s="4">
        <v>0</v>
      </c>
      <c r="D1113" s="4">
        <v>0</v>
      </c>
      <c r="E1113" s="14">
        <v>39997.48</v>
      </c>
      <c r="F1113" s="14" t="e">
        <f t="shared" si="87"/>
        <v>#DIV/0!</v>
      </c>
    </row>
    <row r="1114" spans="1:6" ht="25.5" customHeight="1">
      <c r="A1114" s="237" t="s">
        <v>1379</v>
      </c>
      <c r="B1114" s="238"/>
      <c r="C1114" s="5">
        <f>C1122</f>
        <v>18000</v>
      </c>
      <c r="D1114" s="5">
        <f>D1122</f>
        <v>18000</v>
      </c>
      <c r="E1114" s="132">
        <f>E1122</f>
        <v>3765.34</v>
      </c>
      <c r="F1114" s="14">
        <f t="shared" si="87"/>
        <v>20.918555555555557</v>
      </c>
    </row>
    <row r="1115" spans="1:6" ht="25.5" customHeight="1">
      <c r="A1115" s="233" t="s">
        <v>1109</v>
      </c>
      <c r="B1115" s="234"/>
      <c r="C1115" s="62">
        <f>SUM(C1116:C1121)</f>
        <v>18000</v>
      </c>
      <c r="D1115" s="62">
        <f>SUM(D1116:D1121)</f>
        <v>18000</v>
      </c>
      <c r="E1115" s="130">
        <f>SUM(E1116:E1121)</f>
        <v>3765.34</v>
      </c>
      <c r="F1115" s="14">
        <f aca="true" t="shared" si="89" ref="F1115:F1121">E1115/D1115*100</f>
        <v>20.918555555555557</v>
      </c>
    </row>
    <row r="1116" spans="1:6" ht="18" customHeight="1">
      <c r="A1116" s="229" t="s">
        <v>1025</v>
      </c>
      <c r="B1116" s="230"/>
      <c r="C1116" s="4">
        <v>18000</v>
      </c>
      <c r="D1116" s="4">
        <v>18000</v>
      </c>
      <c r="E1116" s="14">
        <v>3765.34</v>
      </c>
      <c r="F1116" s="14">
        <f t="shared" si="89"/>
        <v>20.918555555555557</v>
      </c>
    </row>
    <row r="1117" spans="1:6" ht="18" customHeight="1">
      <c r="A1117" s="229" t="s">
        <v>1227</v>
      </c>
      <c r="B1117" s="230"/>
      <c r="C1117" s="4">
        <v>0</v>
      </c>
      <c r="D1117" s="4">
        <v>0</v>
      </c>
      <c r="E1117" s="14">
        <v>0</v>
      </c>
      <c r="F1117" s="14" t="e">
        <f t="shared" si="89"/>
        <v>#DIV/0!</v>
      </c>
    </row>
    <row r="1118" spans="1:6" ht="18" customHeight="1">
      <c r="A1118" s="229" t="s">
        <v>1259</v>
      </c>
      <c r="B1118" s="230"/>
      <c r="C1118" s="4">
        <v>0</v>
      </c>
      <c r="D1118" s="4">
        <v>0</v>
      </c>
      <c r="E1118" s="14">
        <v>0</v>
      </c>
      <c r="F1118" s="14" t="e">
        <f t="shared" si="89"/>
        <v>#DIV/0!</v>
      </c>
    </row>
    <row r="1119" spans="1:6" ht="18" customHeight="1">
      <c r="A1119" s="229" t="s">
        <v>1228</v>
      </c>
      <c r="B1119" s="230"/>
      <c r="C1119" s="4">
        <v>0</v>
      </c>
      <c r="D1119" s="4">
        <v>0</v>
      </c>
      <c r="E1119" s="14">
        <v>0</v>
      </c>
      <c r="F1119" s="14" t="e">
        <f t="shared" si="89"/>
        <v>#DIV/0!</v>
      </c>
    </row>
    <row r="1120" spans="1:6" ht="18" customHeight="1">
      <c r="A1120" s="229" t="s">
        <v>1229</v>
      </c>
      <c r="B1120" s="230"/>
      <c r="C1120" s="4">
        <v>0</v>
      </c>
      <c r="D1120" s="4">
        <v>0</v>
      </c>
      <c r="E1120" s="14">
        <v>0</v>
      </c>
      <c r="F1120" s="14" t="e">
        <f t="shared" si="89"/>
        <v>#DIV/0!</v>
      </c>
    </row>
    <row r="1121" spans="1:6" ht="18" customHeight="1">
      <c r="A1121" s="229" t="s">
        <v>1234</v>
      </c>
      <c r="B1121" s="230"/>
      <c r="C1121" s="4">
        <v>0</v>
      </c>
      <c r="D1121" s="4">
        <v>0</v>
      </c>
      <c r="E1121" s="14">
        <v>0</v>
      </c>
      <c r="F1121" s="14" t="e">
        <f t="shared" si="89"/>
        <v>#DIV/0!</v>
      </c>
    </row>
    <row r="1122" spans="1:6" ht="21" customHeight="1">
      <c r="A1122" s="39" t="s">
        <v>615</v>
      </c>
      <c r="B1122" s="3" t="s">
        <v>617</v>
      </c>
      <c r="C1122" s="4">
        <v>18000</v>
      </c>
      <c r="D1122" s="4">
        <v>18000</v>
      </c>
      <c r="E1122" s="14">
        <f>E1123</f>
        <v>3765.34</v>
      </c>
      <c r="F1122" s="14">
        <f t="shared" si="87"/>
        <v>20.918555555555557</v>
      </c>
    </row>
    <row r="1123" spans="1:6" ht="18" customHeight="1">
      <c r="A1123" s="39" t="s">
        <v>616</v>
      </c>
      <c r="B1123" s="3" t="s">
        <v>618</v>
      </c>
      <c r="C1123" s="4">
        <v>0</v>
      </c>
      <c r="D1123" s="4">
        <v>0</v>
      </c>
      <c r="E1123" s="14">
        <f>E1124+E1125</f>
        <v>3765.34</v>
      </c>
      <c r="F1123" s="14" t="e">
        <f t="shared" si="87"/>
        <v>#DIV/0!</v>
      </c>
    </row>
    <row r="1124" spans="1:6" ht="15" customHeight="1">
      <c r="A1124" s="39" t="s">
        <v>619</v>
      </c>
      <c r="B1124" s="79" t="s">
        <v>637</v>
      </c>
      <c r="C1124" s="4">
        <v>0</v>
      </c>
      <c r="D1124" s="4">
        <v>0</v>
      </c>
      <c r="E1124" s="14">
        <v>3765.34</v>
      </c>
      <c r="F1124" s="14" t="e">
        <f t="shared" si="87"/>
        <v>#DIV/0!</v>
      </c>
    </row>
    <row r="1125" spans="1:6" ht="15" customHeight="1">
      <c r="A1125" s="39" t="s">
        <v>622</v>
      </c>
      <c r="B1125" s="74" t="s">
        <v>638</v>
      </c>
      <c r="C1125" s="4">
        <v>0</v>
      </c>
      <c r="D1125" s="4">
        <v>0</v>
      </c>
      <c r="E1125" s="14">
        <v>0</v>
      </c>
      <c r="F1125" s="14" t="e">
        <f t="shared" si="87"/>
        <v>#DIV/0!</v>
      </c>
    </row>
    <row r="1126" spans="1:6" ht="25.5" customHeight="1">
      <c r="A1126" s="237" t="s">
        <v>1431</v>
      </c>
      <c r="B1126" s="238"/>
      <c r="C1126" s="5">
        <f>C1134</f>
        <v>0</v>
      </c>
      <c r="D1126" s="5">
        <f>D1134</f>
        <v>0</v>
      </c>
      <c r="E1126" s="132">
        <f>E1134</f>
        <v>10315.46</v>
      </c>
      <c r="F1126" s="14" t="e">
        <f t="shared" si="87"/>
        <v>#DIV/0!</v>
      </c>
    </row>
    <row r="1127" spans="1:6" ht="25.5" customHeight="1">
      <c r="A1127" s="233" t="s">
        <v>1378</v>
      </c>
      <c r="B1127" s="234"/>
      <c r="C1127" s="62">
        <f>SUM(C1128:C1133)</f>
        <v>0</v>
      </c>
      <c r="D1127" s="62">
        <f>SUM(D1128:D1133)</f>
        <v>0</v>
      </c>
      <c r="E1127" s="130">
        <f>SUM(E1128:E1133)</f>
        <v>10315.46</v>
      </c>
      <c r="F1127" s="14" t="e">
        <f t="shared" si="87"/>
        <v>#DIV/0!</v>
      </c>
    </row>
    <row r="1128" spans="1:6" ht="18" customHeight="1">
      <c r="A1128" s="229" t="s">
        <v>1025</v>
      </c>
      <c r="B1128" s="230"/>
      <c r="C1128" s="4">
        <v>0</v>
      </c>
      <c r="D1128" s="4">
        <v>0</v>
      </c>
      <c r="E1128" s="14">
        <v>10315.46</v>
      </c>
      <c r="F1128" s="14" t="e">
        <f t="shared" si="87"/>
        <v>#DIV/0!</v>
      </c>
    </row>
    <row r="1129" spans="1:6" ht="18" customHeight="1">
      <c r="A1129" s="229" t="s">
        <v>1227</v>
      </c>
      <c r="B1129" s="230"/>
      <c r="C1129" s="4">
        <v>0</v>
      </c>
      <c r="D1129" s="4">
        <v>0</v>
      </c>
      <c r="E1129" s="14">
        <v>0</v>
      </c>
      <c r="F1129" s="14" t="e">
        <f t="shared" si="87"/>
        <v>#DIV/0!</v>
      </c>
    </row>
    <row r="1130" spans="1:6" ht="18" customHeight="1">
      <c r="A1130" s="229" t="s">
        <v>1259</v>
      </c>
      <c r="B1130" s="230"/>
      <c r="C1130" s="4">
        <v>0</v>
      </c>
      <c r="D1130" s="4">
        <v>0</v>
      </c>
      <c r="E1130" s="14">
        <v>0</v>
      </c>
      <c r="F1130" s="14" t="e">
        <f t="shared" si="87"/>
        <v>#DIV/0!</v>
      </c>
    </row>
    <row r="1131" spans="1:6" ht="18" customHeight="1">
      <c r="A1131" s="229" t="s">
        <v>1228</v>
      </c>
      <c r="B1131" s="230"/>
      <c r="C1131" s="4">
        <v>0</v>
      </c>
      <c r="D1131" s="4">
        <v>0</v>
      </c>
      <c r="E1131" s="14">
        <v>0</v>
      </c>
      <c r="F1131" s="14" t="e">
        <f t="shared" si="87"/>
        <v>#DIV/0!</v>
      </c>
    </row>
    <row r="1132" spans="1:6" ht="18" customHeight="1">
      <c r="A1132" s="229" t="s">
        <v>1229</v>
      </c>
      <c r="B1132" s="230"/>
      <c r="C1132" s="4">
        <v>0</v>
      </c>
      <c r="D1132" s="4">
        <v>0</v>
      </c>
      <c r="E1132" s="14">
        <v>0</v>
      </c>
      <c r="F1132" s="14" t="e">
        <f t="shared" si="87"/>
        <v>#DIV/0!</v>
      </c>
    </row>
    <row r="1133" spans="1:6" ht="18" customHeight="1">
      <c r="A1133" s="229" t="s">
        <v>1419</v>
      </c>
      <c r="B1133" s="230"/>
      <c r="C1133" s="4">
        <v>0</v>
      </c>
      <c r="D1133" s="4">
        <v>0</v>
      </c>
      <c r="E1133" s="14">
        <v>0</v>
      </c>
      <c r="F1133" s="14" t="e">
        <f t="shared" si="87"/>
        <v>#DIV/0!</v>
      </c>
    </row>
    <row r="1134" spans="1:6" ht="21" customHeight="1">
      <c r="A1134" s="39" t="s">
        <v>292</v>
      </c>
      <c r="B1134" s="70" t="s">
        <v>293</v>
      </c>
      <c r="C1134" s="4">
        <v>0</v>
      </c>
      <c r="D1134" s="4">
        <v>0</v>
      </c>
      <c r="E1134" s="14">
        <f>E1135</f>
        <v>10315.46</v>
      </c>
      <c r="F1134" s="14" t="e">
        <f t="shared" si="87"/>
        <v>#DIV/0!</v>
      </c>
    </row>
    <row r="1135" spans="1:6" ht="18" customHeight="1">
      <c r="A1135" s="39" t="s">
        <v>169</v>
      </c>
      <c r="B1135" s="3" t="s">
        <v>84</v>
      </c>
      <c r="C1135" s="4">
        <v>0</v>
      </c>
      <c r="D1135" s="4">
        <v>0</v>
      </c>
      <c r="E1135" s="14">
        <f>E1136</f>
        <v>10315.46</v>
      </c>
      <c r="F1135" s="14" t="e">
        <f t="shared" si="87"/>
        <v>#DIV/0!</v>
      </c>
    </row>
    <row r="1136" spans="1:6" ht="15" customHeight="1">
      <c r="A1136" s="39" t="s">
        <v>329</v>
      </c>
      <c r="B1136" s="74" t="s">
        <v>745</v>
      </c>
      <c r="C1136" s="4">
        <v>0</v>
      </c>
      <c r="D1136" s="4">
        <v>0</v>
      </c>
      <c r="E1136" s="14">
        <v>10315.46</v>
      </c>
      <c r="F1136" s="14" t="e">
        <f t="shared" si="87"/>
        <v>#DIV/0!</v>
      </c>
    </row>
    <row r="1137" spans="1:6" ht="30" customHeight="1">
      <c r="A1137" s="235" t="s">
        <v>979</v>
      </c>
      <c r="B1137" s="236"/>
      <c r="C1137" s="61">
        <f>C1138+C1158+C1169+C1180+C1195+C1207+C1218</f>
        <v>295100</v>
      </c>
      <c r="D1137" s="61">
        <f>D1138+D1158+D1169+D1180+D1195+D1207+D1218</f>
        <v>295100</v>
      </c>
      <c r="E1137" s="129">
        <f>E1138+E1158+E1169+E1180+E1195+E1207+E1218</f>
        <v>131246.03</v>
      </c>
      <c r="F1137" s="14">
        <f t="shared" si="87"/>
        <v>44.47510335479499</v>
      </c>
    </row>
    <row r="1138" spans="1:6" ht="25.5" customHeight="1">
      <c r="A1138" s="237" t="s">
        <v>980</v>
      </c>
      <c r="B1138" s="238"/>
      <c r="C1138" s="5">
        <f>C1146</f>
        <v>119000</v>
      </c>
      <c r="D1138" s="5">
        <f>D1146</f>
        <v>119000</v>
      </c>
      <c r="E1138" s="132">
        <f>E1146</f>
        <v>38165.43</v>
      </c>
      <c r="F1138" s="14">
        <f t="shared" si="87"/>
        <v>32.071789915966384</v>
      </c>
    </row>
    <row r="1139" spans="1:6" ht="25.5" customHeight="1">
      <c r="A1139" s="233" t="s">
        <v>1111</v>
      </c>
      <c r="B1139" s="234"/>
      <c r="C1139" s="62">
        <f>SUM(C1140:C1145)</f>
        <v>119000</v>
      </c>
      <c r="D1139" s="62">
        <f>SUM(D1140:D1145)</f>
        <v>119000</v>
      </c>
      <c r="E1139" s="130">
        <f>SUM(E1140:E1145)</f>
        <v>38165.43</v>
      </c>
      <c r="F1139" s="14">
        <f t="shared" si="87"/>
        <v>32.071789915966384</v>
      </c>
    </row>
    <row r="1140" spans="1:6" ht="18" customHeight="1">
      <c r="A1140" s="229" t="s">
        <v>1025</v>
      </c>
      <c r="B1140" s="230"/>
      <c r="C1140" s="4">
        <v>119000</v>
      </c>
      <c r="D1140" s="4">
        <v>119000</v>
      </c>
      <c r="E1140" s="14">
        <v>38165.43</v>
      </c>
      <c r="F1140" s="14">
        <f t="shared" si="87"/>
        <v>32.071789915966384</v>
      </c>
    </row>
    <row r="1141" spans="1:6" ht="18" customHeight="1">
      <c r="A1141" s="229" t="s">
        <v>1227</v>
      </c>
      <c r="B1141" s="230"/>
      <c r="C1141" s="4">
        <v>0</v>
      </c>
      <c r="D1141" s="4">
        <v>0</v>
      </c>
      <c r="E1141" s="14">
        <v>0</v>
      </c>
      <c r="F1141" s="14" t="e">
        <f t="shared" si="87"/>
        <v>#DIV/0!</v>
      </c>
    </row>
    <row r="1142" spans="1:6" ht="18" customHeight="1">
      <c r="A1142" s="229" t="s">
        <v>1231</v>
      </c>
      <c r="B1142" s="230"/>
      <c r="C1142" s="4">
        <v>0</v>
      </c>
      <c r="D1142" s="4">
        <v>0</v>
      </c>
      <c r="E1142" s="14">
        <v>0</v>
      </c>
      <c r="F1142" s="14" t="e">
        <f t="shared" si="87"/>
        <v>#DIV/0!</v>
      </c>
    </row>
    <row r="1143" spans="1:6" ht="18" customHeight="1">
      <c r="A1143" s="229" t="s">
        <v>1228</v>
      </c>
      <c r="B1143" s="230"/>
      <c r="C1143" s="4">
        <v>0</v>
      </c>
      <c r="D1143" s="4">
        <v>0</v>
      </c>
      <c r="E1143" s="14">
        <v>0</v>
      </c>
      <c r="F1143" s="14" t="e">
        <f t="shared" si="87"/>
        <v>#DIV/0!</v>
      </c>
    </row>
    <row r="1144" spans="1:6" ht="18" customHeight="1">
      <c r="A1144" s="229" t="s">
        <v>1229</v>
      </c>
      <c r="B1144" s="230"/>
      <c r="C1144" s="4">
        <v>0</v>
      </c>
      <c r="D1144" s="4">
        <v>0</v>
      </c>
      <c r="E1144" s="14">
        <v>0</v>
      </c>
      <c r="F1144" s="14" t="e">
        <f t="shared" si="87"/>
        <v>#DIV/0!</v>
      </c>
    </row>
    <row r="1145" spans="1:6" ht="18" customHeight="1">
      <c r="A1145" s="229" t="s">
        <v>1234</v>
      </c>
      <c r="B1145" s="230"/>
      <c r="C1145" s="4">
        <v>0</v>
      </c>
      <c r="D1145" s="4">
        <v>0</v>
      </c>
      <c r="E1145" s="14">
        <v>0</v>
      </c>
      <c r="F1145" s="14" t="e">
        <f t="shared" si="87"/>
        <v>#DIV/0!</v>
      </c>
    </row>
    <row r="1146" spans="1:6" ht="21" customHeight="1">
      <c r="A1146" s="39">
        <v>37</v>
      </c>
      <c r="B1146" s="74" t="s">
        <v>110</v>
      </c>
      <c r="C1146" s="4">
        <v>119000</v>
      </c>
      <c r="D1146" s="4">
        <v>119000</v>
      </c>
      <c r="E1146" s="14">
        <f>E1147</f>
        <v>38165.43</v>
      </c>
      <c r="F1146" s="14">
        <f t="shared" si="87"/>
        <v>32.071789915966384</v>
      </c>
    </row>
    <row r="1147" spans="1:6" ht="18" customHeight="1">
      <c r="A1147" s="39">
        <v>372</v>
      </c>
      <c r="B1147" s="74" t="s">
        <v>111</v>
      </c>
      <c r="C1147" s="4">
        <v>0</v>
      </c>
      <c r="D1147" s="4">
        <v>0</v>
      </c>
      <c r="E1147" s="14">
        <f>E1148+E1151</f>
        <v>38165.43</v>
      </c>
      <c r="F1147" s="14" t="e">
        <f t="shared" si="87"/>
        <v>#DIV/0!</v>
      </c>
    </row>
    <row r="1148" spans="1:6" ht="15" customHeight="1">
      <c r="A1148" s="39">
        <v>3721</v>
      </c>
      <c r="B1148" s="74" t="s">
        <v>112</v>
      </c>
      <c r="C1148" s="4">
        <f>SUM(C1149:C1150)</f>
        <v>0</v>
      </c>
      <c r="D1148" s="4">
        <f>SUM(D1149:D1150)</f>
        <v>0</v>
      </c>
      <c r="E1148" s="14">
        <f>SUM(E1149:E1150)</f>
        <v>29414.97</v>
      </c>
      <c r="F1148" s="14" t="e">
        <f t="shared" si="87"/>
        <v>#DIV/0!</v>
      </c>
    </row>
    <row r="1149" spans="1:6" ht="13.5" customHeight="1">
      <c r="A1149" s="39"/>
      <c r="B1149" s="74" t="s">
        <v>113</v>
      </c>
      <c r="C1149" s="4">
        <v>0</v>
      </c>
      <c r="D1149" s="4">
        <v>0</v>
      </c>
      <c r="E1149" s="14">
        <v>1314.97</v>
      </c>
      <c r="F1149" s="14" t="e">
        <f t="shared" si="87"/>
        <v>#DIV/0!</v>
      </c>
    </row>
    <row r="1150" spans="1:6" ht="13.5" customHeight="1">
      <c r="A1150" s="39"/>
      <c r="B1150" s="74" t="s">
        <v>128</v>
      </c>
      <c r="C1150" s="4">
        <v>0</v>
      </c>
      <c r="D1150" s="4">
        <v>0</v>
      </c>
      <c r="E1150" s="14">
        <v>28100</v>
      </c>
      <c r="F1150" s="14" t="e">
        <f t="shared" si="87"/>
        <v>#DIV/0!</v>
      </c>
    </row>
    <row r="1151" spans="1:6" ht="15" customHeight="1">
      <c r="A1151" s="39">
        <v>3722</v>
      </c>
      <c r="B1151" s="74" t="s">
        <v>114</v>
      </c>
      <c r="C1151" s="4">
        <f>C1152+C1153+C1154+C1155+C1156+C1157</f>
        <v>0</v>
      </c>
      <c r="D1151" s="4">
        <f>D1152+D1153+D1154+D1155+D1156+D1157</f>
        <v>0</v>
      </c>
      <c r="E1151" s="14">
        <f>E1152+E1153+E1154+E1155+E1156+E1157</f>
        <v>8750.46</v>
      </c>
      <c r="F1151" s="14" t="e">
        <f t="shared" si="87"/>
        <v>#DIV/0!</v>
      </c>
    </row>
    <row r="1152" spans="1:6" ht="13.5" customHeight="1">
      <c r="A1152" s="74"/>
      <c r="B1152" s="74" t="s">
        <v>115</v>
      </c>
      <c r="C1152" s="4">
        <v>0</v>
      </c>
      <c r="D1152" s="4">
        <v>0</v>
      </c>
      <c r="E1152" s="14">
        <v>0</v>
      </c>
      <c r="F1152" s="14" t="e">
        <f t="shared" si="87"/>
        <v>#DIV/0!</v>
      </c>
    </row>
    <row r="1153" spans="1:6" ht="13.5" customHeight="1">
      <c r="A1153" s="74"/>
      <c r="B1153" s="74" t="s">
        <v>68</v>
      </c>
      <c r="C1153" s="4">
        <v>0</v>
      </c>
      <c r="D1153" s="4">
        <v>0</v>
      </c>
      <c r="E1153" s="14">
        <v>0</v>
      </c>
      <c r="F1153" s="14" t="e">
        <f t="shared" si="87"/>
        <v>#DIV/0!</v>
      </c>
    </row>
    <row r="1154" spans="1:6" ht="13.5" customHeight="1">
      <c r="A1154" s="74"/>
      <c r="B1154" s="74" t="s">
        <v>116</v>
      </c>
      <c r="C1154" s="4">
        <v>0</v>
      </c>
      <c r="D1154" s="4">
        <v>0</v>
      </c>
      <c r="E1154" s="14">
        <v>0</v>
      </c>
      <c r="F1154" s="14" t="e">
        <f t="shared" si="87"/>
        <v>#DIV/0!</v>
      </c>
    </row>
    <row r="1155" spans="1:6" ht="13.5" customHeight="1">
      <c r="A1155" s="74"/>
      <c r="B1155" s="74" t="s">
        <v>117</v>
      </c>
      <c r="C1155" s="4">
        <v>0</v>
      </c>
      <c r="D1155" s="4">
        <v>0</v>
      </c>
      <c r="E1155" s="14">
        <v>0</v>
      </c>
      <c r="F1155" s="14" t="e">
        <f t="shared" si="87"/>
        <v>#DIV/0!</v>
      </c>
    </row>
    <row r="1156" spans="1:6" ht="13.5" customHeight="1">
      <c r="A1156" s="74"/>
      <c r="B1156" s="74" t="s">
        <v>562</v>
      </c>
      <c r="C1156" s="4">
        <v>0</v>
      </c>
      <c r="D1156" s="4">
        <v>0</v>
      </c>
      <c r="E1156" s="14">
        <v>0</v>
      </c>
      <c r="F1156" s="14" t="e">
        <f t="shared" si="87"/>
        <v>#DIV/0!</v>
      </c>
    </row>
    <row r="1157" spans="1:6" ht="13.5" customHeight="1">
      <c r="A1157" s="74"/>
      <c r="B1157" s="74" t="s">
        <v>118</v>
      </c>
      <c r="C1157" s="4">
        <v>0</v>
      </c>
      <c r="D1157" s="4">
        <v>0</v>
      </c>
      <c r="E1157" s="14">
        <v>8750.46</v>
      </c>
      <c r="F1157" s="14" t="e">
        <f t="shared" si="87"/>
        <v>#DIV/0!</v>
      </c>
    </row>
    <row r="1158" spans="1:6" ht="25.5" customHeight="1">
      <c r="A1158" s="237" t="s">
        <v>981</v>
      </c>
      <c r="B1158" s="238"/>
      <c r="C1158" s="5">
        <f>C1166</f>
        <v>5400</v>
      </c>
      <c r="D1158" s="5">
        <f>D1166</f>
        <v>5400</v>
      </c>
      <c r="E1158" s="132">
        <f>E1166</f>
        <v>5309</v>
      </c>
      <c r="F1158" s="14">
        <f>E1158/D1158*100</f>
        <v>98.31481481481481</v>
      </c>
    </row>
    <row r="1159" spans="1:6" ht="25.5" customHeight="1">
      <c r="A1159" s="233" t="s">
        <v>1112</v>
      </c>
      <c r="B1159" s="234"/>
      <c r="C1159" s="62">
        <f>SUM(C1160:C1165)</f>
        <v>5400</v>
      </c>
      <c r="D1159" s="62">
        <f>SUM(D1160:D1165)</f>
        <v>5400</v>
      </c>
      <c r="E1159" s="130">
        <f>SUM(E1160:E1165)</f>
        <v>5309</v>
      </c>
      <c r="F1159" s="14">
        <f aca="true" t="shared" si="90" ref="F1159:F1165">E1159/D1159*100</f>
        <v>98.31481481481481</v>
      </c>
    </row>
    <row r="1160" spans="1:6" ht="18" customHeight="1">
      <c r="A1160" s="229" t="s">
        <v>1025</v>
      </c>
      <c r="B1160" s="230"/>
      <c r="C1160" s="4">
        <v>5400</v>
      </c>
      <c r="D1160" s="4">
        <v>5400</v>
      </c>
      <c r="E1160" s="14">
        <v>5309</v>
      </c>
      <c r="F1160" s="14">
        <f t="shared" si="90"/>
        <v>98.31481481481481</v>
      </c>
    </row>
    <row r="1161" spans="1:6" ht="18" customHeight="1">
      <c r="A1161" s="229" t="s">
        <v>1227</v>
      </c>
      <c r="B1161" s="230"/>
      <c r="C1161" s="4">
        <v>0</v>
      </c>
      <c r="D1161" s="4">
        <v>0</v>
      </c>
      <c r="E1161" s="14">
        <v>0</v>
      </c>
      <c r="F1161" s="14" t="e">
        <f t="shared" si="90"/>
        <v>#DIV/0!</v>
      </c>
    </row>
    <row r="1162" spans="1:6" ht="18" customHeight="1">
      <c r="A1162" s="229" t="s">
        <v>1231</v>
      </c>
      <c r="B1162" s="230"/>
      <c r="C1162" s="4">
        <v>0</v>
      </c>
      <c r="D1162" s="4">
        <v>0</v>
      </c>
      <c r="E1162" s="14">
        <v>0</v>
      </c>
      <c r="F1162" s="14" t="e">
        <f t="shared" si="90"/>
        <v>#DIV/0!</v>
      </c>
    </row>
    <row r="1163" spans="1:6" ht="18" customHeight="1">
      <c r="A1163" s="229" t="s">
        <v>1228</v>
      </c>
      <c r="B1163" s="230"/>
      <c r="C1163" s="4">
        <v>0</v>
      </c>
      <c r="D1163" s="4">
        <v>0</v>
      </c>
      <c r="E1163" s="14">
        <v>0</v>
      </c>
      <c r="F1163" s="14" t="e">
        <f t="shared" si="90"/>
        <v>#DIV/0!</v>
      </c>
    </row>
    <row r="1164" spans="1:6" ht="18" customHeight="1">
      <c r="A1164" s="229" t="s">
        <v>1229</v>
      </c>
      <c r="B1164" s="230"/>
      <c r="C1164" s="4">
        <v>0</v>
      </c>
      <c r="D1164" s="4">
        <v>0</v>
      </c>
      <c r="E1164" s="14">
        <v>0</v>
      </c>
      <c r="F1164" s="14" t="e">
        <f t="shared" si="90"/>
        <v>#DIV/0!</v>
      </c>
    </row>
    <row r="1165" spans="1:6" ht="18" customHeight="1">
      <c r="A1165" s="229" t="s">
        <v>1234</v>
      </c>
      <c r="B1165" s="230"/>
      <c r="C1165" s="4">
        <v>0</v>
      </c>
      <c r="D1165" s="4">
        <v>0</v>
      </c>
      <c r="E1165" s="14">
        <v>0</v>
      </c>
      <c r="F1165" s="14" t="e">
        <f t="shared" si="90"/>
        <v>#DIV/0!</v>
      </c>
    </row>
    <row r="1166" spans="1:6" ht="21" customHeight="1">
      <c r="A1166" s="39" t="s">
        <v>615</v>
      </c>
      <c r="B1166" s="3" t="s">
        <v>617</v>
      </c>
      <c r="C1166" s="4">
        <v>5400</v>
      </c>
      <c r="D1166" s="4">
        <v>5400</v>
      </c>
      <c r="E1166" s="14">
        <f>E1167</f>
        <v>5309</v>
      </c>
      <c r="F1166" s="14">
        <f>E1166/D1166*100</f>
        <v>98.31481481481481</v>
      </c>
    </row>
    <row r="1167" spans="1:6" ht="18" customHeight="1">
      <c r="A1167" s="39" t="s">
        <v>633</v>
      </c>
      <c r="B1167" s="3" t="s">
        <v>634</v>
      </c>
      <c r="C1167" s="4">
        <v>0</v>
      </c>
      <c r="D1167" s="4">
        <v>0</v>
      </c>
      <c r="E1167" s="14">
        <f>E1168</f>
        <v>5309</v>
      </c>
      <c r="F1167" s="14" t="e">
        <f>E1167/D1167*100</f>
        <v>#DIV/0!</v>
      </c>
    </row>
    <row r="1168" spans="1:6" ht="15" customHeight="1">
      <c r="A1168" s="39" t="s">
        <v>635</v>
      </c>
      <c r="B1168" s="79" t="s">
        <v>636</v>
      </c>
      <c r="C1168" s="4">
        <v>0</v>
      </c>
      <c r="D1168" s="4">
        <v>0</v>
      </c>
      <c r="E1168" s="14">
        <v>5309</v>
      </c>
      <c r="F1168" s="14" t="e">
        <f>E1168/D1168*100</f>
        <v>#DIV/0!</v>
      </c>
    </row>
    <row r="1169" spans="1:6" ht="25.5" customHeight="1">
      <c r="A1169" s="237" t="s">
        <v>982</v>
      </c>
      <c r="B1169" s="238"/>
      <c r="C1169" s="5">
        <f>C1177</f>
        <v>120700</v>
      </c>
      <c r="D1169" s="5">
        <f>D1177</f>
        <v>120700</v>
      </c>
      <c r="E1169" s="132">
        <f>E1177</f>
        <v>66630</v>
      </c>
      <c r="F1169" s="14">
        <f t="shared" si="87"/>
        <v>55.2029826014913</v>
      </c>
    </row>
    <row r="1170" spans="1:6" ht="25.5" customHeight="1">
      <c r="A1170" s="233" t="s">
        <v>1113</v>
      </c>
      <c r="B1170" s="234"/>
      <c r="C1170" s="62">
        <f>SUM(C1171:C1176)</f>
        <v>120700</v>
      </c>
      <c r="D1170" s="62">
        <f>SUM(D1171:D1176)</f>
        <v>120700</v>
      </c>
      <c r="E1170" s="130">
        <f>SUM(E1171:E1176)</f>
        <v>66630</v>
      </c>
      <c r="F1170" s="14">
        <f t="shared" si="87"/>
        <v>55.2029826014913</v>
      </c>
    </row>
    <row r="1171" spans="1:6" ht="18" customHeight="1">
      <c r="A1171" s="229" t="s">
        <v>1025</v>
      </c>
      <c r="B1171" s="230"/>
      <c r="C1171" s="4">
        <v>0</v>
      </c>
      <c r="D1171" s="4">
        <v>0</v>
      </c>
      <c r="E1171" s="14">
        <v>66630</v>
      </c>
      <c r="F1171" s="14" t="e">
        <f t="shared" si="87"/>
        <v>#DIV/0!</v>
      </c>
    </row>
    <row r="1172" spans="1:6" ht="18" customHeight="1">
      <c r="A1172" s="229" t="s">
        <v>1227</v>
      </c>
      <c r="B1172" s="230"/>
      <c r="C1172" s="4">
        <v>45000</v>
      </c>
      <c r="D1172" s="4">
        <v>45000</v>
      </c>
      <c r="E1172" s="14">
        <v>0</v>
      </c>
      <c r="F1172" s="14">
        <f t="shared" si="87"/>
        <v>0</v>
      </c>
    </row>
    <row r="1173" spans="1:6" ht="18" customHeight="1">
      <c r="A1173" s="229" t="s">
        <v>1259</v>
      </c>
      <c r="B1173" s="230"/>
      <c r="C1173" s="4">
        <v>0</v>
      </c>
      <c r="D1173" s="4">
        <v>0</v>
      </c>
      <c r="E1173" s="14">
        <v>0</v>
      </c>
      <c r="F1173" s="14" t="e">
        <f t="shared" si="87"/>
        <v>#DIV/0!</v>
      </c>
    </row>
    <row r="1174" spans="1:6" ht="18" customHeight="1">
      <c r="A1174" s="229" t="s">
        <v>1228</v>
      </c>
      <c r="B1174" s="230"/>
      <c r="C1174" s="4">
        <v>0</v>
      </c>
      <c r="D1174" s="4">
        <v>0</v>
      </c>
      <c r="E1174" s="14">
        <v>0</v>
      </c>
      <c r="F1174" s="14" t="e">
        <f t="shared" si="87"/>
        <v>#DIV/0!</v>
      </c>
    </row>
    <row r="1175" spans="1:6" ht="18" customHeight="1">
      <c r="A1175" s="229" t="s">
        <v>1229</v>
      </c>
      <c r="B1175" s="230"/>
      <c r="C1175" s="4">
        <v>0</v>
      </c>
      <c r="D1175" s="4">
        <v>0</v>
      </c>
      <c r="E1175" s="14">
        <v>0</v>
      </c>
      <c r="F1175" s="14" t="e">
        <f t="shared" si="87"/>
        <v>#DIV/0!</v>
      </c>
    </row>
    <row r="1176" spans="1:6" ht="18" customHeight="1">
      <c r="A1176" s="229" t="s">
        <v>1419</v>
      </c>
      <c r="B1176" s="230"/>
      <c r="C1176" s="4">
        <v>75700</v>
      </c>
      <c r="D1176" s="4">
        <v>75700</v>
      </c>
      <c r="E1176" s="14">
        <v>0</v>
      </c>
      <c r="F1176" s="14">
        <f t="shared" si="87"/>
        <v>0</v>
      </c>
    </row>
    <row r="1177" spans="1:6" ht="21" customHeight="1">
      <c r="A1177" s="39">
        <v>37</v>
      </c>
      <c r="B1177" s="74" t="s">
        <v>110</v>
      </c>
      <c r="C1177" s="4">
        <v>120700</v>
      </c>
      <c r="D1177" s="4">
        <v>120700</v>
      </c>
      <c r="E1177" s="14">
        <f>E1178</f>
        <v>66630</v>
      </c>
      <c r="F1177" s="14">
        <f t="shared" si="87"/>
        <v>55.2029826014913</v>
      </c>
    </row>
    <row r="1178" spans="1:6" ht="18" customHeight="1">
      <c r="A1178" s="39">
        <v>372</v>
      </c>
      <c r="B1178" s="74" t="s">
        <v>111</v>
      </c>
      <c r="C1178" s="4">
        <v>0</v>
      </c>
      <c r="D1178" s="4">
        <v>0</v>
      </c>
      <c r="E1178" s="14">
        <f>E1179</f>
        <v>66630</v>
      </c>
      <c r="F1178" s="14" t="e">
        <f t="shared" si="87"/>
        <v>#DIV/0!</v>
      </c>
    </row>
    <row r="1179" spans="1:6" ht="15" customHeight="1">
      <c r="A1179" s="39">
        <v>3721</v>
      </c>
      <c r="B1179" s="74" t="s">
        <v>119</v>
      </c>
      <c r="C1179" s="4">
        <v>0</v>
      </c>
      <c r="D1179" s="4">
        <v>0</v>
      </c>
      <c r="E1179" s="14">
        <v>66630</v>
      </c>
      <c r="F1179" s="14" t="e">
        <f t="shared" si="87"/>
        <v>#DIV/0!</v>
      </c>
    </row>
    <row r="1180" spans="1:6" ht="25.5" customHeight="1">
      <c r="A1180" s="245" t="s">
        <v>1432</v>
      </c>
      <c r="B1180" s="238"/>
      <c r="C1180" s="5">
        <f>C1188</f>
        <v>14000</v>
      </c>
      <c r="D1180" s="5">
        <f>D1188</f>
        <v>14000</v>
      </c>
      <c r="E1180" s="132">
        <f>E1188</f>
        <v>0</v>
      </c>
      <c r="F1180" s="14">
        <f t="shared" si="87"/>
        <v>0</v>
      </c>
    </row>
    <row r="1181" spans="1:6" ht="25.5" customHeight="1">
      <c r="A1181" s="233" t="s">
        <v>1114</v>
      </c>
      <c r="B1181" s="234"/>
      <c r="C1181" s="62">
        <f>SUM(C1182:C1187)</f>
        <v>14000</v>
      </c>
      <c r="D1181" s="62">
        <f>SUM(D1182:D1187)</f>
        <v>14000</v>
      </c>
      <c r="E1181" s="130">
        <f>SUM(E1182:E1187)</f>
        <v>0</v>
      </c>
      <c r="F1181" s="14">
        <f aca="true" t="shared" si="91" ref="F1181:F1187">E1181/D1181*100</f>
        <v>0</v>
      </c>
    </row>
    <row r="1182" spans="1:6" ht="18" customHeight="1">
      <c r="A1182" s="229" t="s">
        <v>1025</v>
      </c>
      <c r="B1182" s="230"/>
      <c r="C1182" s="4">
        <v>14000</v>
      </c>
      <c r="D1182" s="4">
        <v>14000</v>
      </c>
      <c r="E1182" s="14">
        <v>0</v>
      </c>
      <c r="F1182" s="14">
        <f t="shared" si="91"/>
        <v>0</v>
      </c>
    </row>
    <row r="1183" spans="1:6" ht="18" customHeight="1">
      <c r="A1183" s="229" t="s">
        <v>1227</v>
      </c>
      <c r="B1183" s="230"/>
      <c r="C1183" s="4">
        <v>0</v>
      </c>
      <c r="D1183" s="4">
        <v>0</v>
      </c>
      <c r="E1183" s="14">
        <v>0</v>
      </c>
      <c r="F1183" s="14" t="e">
        <f t="shared" si="91"/>
        <v>#DIV/0!</v>
      </c>
    </row>
    <row r="1184" spans="1:6" ht="18" customHeight="1">
      <c r="A1184" s="229" t="s">
        <v>1231</v>
      </c>
      <c r="B1184" s="230"/>
      <c r="C1184" s="4">
        <v>0</v>
      </c>
      <c r="D1184" s="4">
        <v>0</v>
      </c>
      <c r="E1184" s="14">
        <v>0</v>
      </c>
      <c r="F1184" s="14" t="e">
        <f t="shared" si="91"/>
        <v>#DIV/0!</v>
      </c>
    </row>
    <row r="1185" spans="1:6" ht="18" customHeight="1">
      <c r="A1185" s="229" t="s">
        <v>1228</v>
      </c>
      <c r="B1185" s="230"/>
      <c r="C1185" s="4">
        <v>0</v>
      </c>
      <c r="D1185" s="4">
        <v>0</v>
      </c>
      <c r="E1185" s="14">
        <v>0</v>
      </c>
      <c r="F1185" s="14" t="e">
        <f t="shared" si="91"/>
        <v>#DIV/0!</v>
      </c>
    </row>
    <row r="1186" spans="1:6" ht="18" customHeight="1">
      <c r="A1186" s="229" t="s">
        <v>1229</v>
      </c>
      <c r="B1186" s="230"/>
      <c r="C1186" s="4">
        <v>0</v>
      </c>
      <c r="D1186" s="4">
        <v>0</v>
      </c>
      <c r="E1186" s="14">
        <v>0</v>
      </c>
      <c r="F1186" s="14" t="e">
        <f t="shared" si="91"/>
        <v>#DIV/0!</v>
      </c>
    </row>
    <row r="1187" spans="1:6" ht="18" customHeight="1">
      <c r="A1187" s="229" t="s">
        <v>1234</v>
      </c>
      <c r="B1187" s="230"/>
      <c r="C1187" s="4">
        <v>0</v>
      </c>
      <c r="D1187" s="4">
        <v>0</v>
      </c>
      <c r="E1187" s="14">
        <v>0</v>
      </c>
      <c r="F1187" s="14" t="e">
        <f t="shared" si="91"/>
        <v>#DIV/0!</v>
      </c>
    </row>
    <row r="1188" spans="1:6" ht="21" customHeight="1">
      <c r="A1188" s="39">
        <v>38</v>
      </c>
      <c r="B1188" s="70" t="s">
        <v>556</v>
      </c>
      <c r="C1188" s="4">
        <v>14000</v>
      </c>
      <c r="D1188" s="4">
        <v>14000</v>
      </c>
      <c r="E1188" s="14">
        <f>E1189</f>
        <v>0</v>
      </c>
      <c r="F1188" s="14">
        <f t="shared" si="87"/>
        <v>0</v>
      </c>
    </row>
    <row r="1189" spans="1:6" ht="18" customHeight="1">
      <c r="A1189" s="39">
        <v>381</v>
      </c>
      <c r="B1189" s="74" t="s">
        <v>67</v>
      </c>
      <c r="C1189" s="4">
        <v>0</v>
      </c>
      <c r="D1189" s="4">
        <v>0</v>
      </c>
      <c r="E1189" s="14">
        <f>E1190</f>
        <v>0</v>
      </c>
      <c r="F1189" s="14" t="e">
        <f t="shared" si="87"/>
        <v>#DIV/0!</v>
      </c>
    </row>
    <row r="1190" spans="1:6" ht="15" customHeight="1">
      <c r="A1190" s="39">
        <v>3811</v>
      </c>
      <c r="B1190" s="74" t="s">
        <v>69</v>
      </c>
      <c r="C1190" s="4">
        <f>SUM(C1191:C1193)</f>
        <v>0</v>
      </c>
      <c r="D1190" s="4">
        <f>SUM(D1191:D1193)</f>
        <v>0</v>
      </c>
      <c r="E1190" s="14">
        <f>SUM(E1191:E1194)</f>
        <v>0</v>
      </c>
      <c r="F1190" s="14" t="e">
        <f t="shared" si="87"/>
        <v>#DIV/0!</v>
      </c>
    </row>
    <row r="1191" spans="1:6" ht="13.5" customHeight="1">
      <c r="A1191" s="76"/>
      <c r="B1191" s="79" t="s">
        <v>702</v>
      </c>
      <c r="C1191" s="4">
        <v>0</v>
      </c>
      <c r="D1191" s="4">
        <v>0</v>
      </c>
      <c r="E1191" s="14">
        <v>0</v>
      </c>
      <c r="F1191" s="14" t="e">
        <f>E1191/D1191*100</f>
        <v>#DIV/0!</v>
      </c>
    </row>
    <row r="1192" spans="1:6" ht="13.5" customHeight="1">
      <c r="A1192" s="76"/>
      <c r="B1192" s="79" t="s">
        <v>703</v>
      </c>
      <c r="C1192" s="4">
        <v>0</v>
      </c>
      <c r="D1192" s="4">
        <v>0</v>
      </c>
      <c r="E1192" s="14">
        <v>0</v>
      </c>
      <c r="F1192" s="14" t="e">
        <f t="shared" si="87"/>
        <v>#DIV/0!</v>
      </c>
    </row>
    <row r="1193" spans="1:6" ht="13.5" customHeight="1">
      <c r="A1193" s="80"/>
      <c r="B1193" s="79" t="s">
        <v>1115</v>
      </c>
      <c r="C1193" s="4">
        <v>0</v>
      </c>
      <c r="D1193" s="4">
        <v>0</v>
      </c>
      <c r="E1193" s="14">
        <v>0</v>
      </c>
      <c r="F1193" s="14" t="e">
        <f t="shared" si="87"/>
        <v>#DIV/0!</v>
      </c>
    </row>
    <row r="1194" spans="1:6" ht="13.5" customHeight="1">
      <c r="A1194" s="80"/>
      <c r="B1194" s="79" t="s">
        <v>1108</v>
      </c>
      <c r="C1194" s="4">
        <v>0</v>
      </c>
      <c r="D1194" s="4">
        <v>0</v>
      </c>
      <c r="E1194" s="14">
        <v>0</v>
      </c>
      <c r="F1194" s="14" t="e">
        <f>E1194/D1194*100</f>
        <v>#DIV/0!</v>
      </c>
    </row>
    <row r="1195" spans="1:6" ht="25.5" customHeight="1">
      <c r="A1195" s="237" t="s">
        <v>983</v>
      </c>
      <c r="B1195" s="238"/>
      <c r="C1195" s="5">
        <f>C1203</f>
        <v>2000</v>
      </c>
      <c r="D1195" s="5">
        <f>D1203</f>
        <v>2000</v>
      </c>
      <c r="E1195" s="132">
        <f>E1203</f>
        <v>0</v>
      </c>
      <c r="F1195" s="14">
        <f t="shared" si="87"/>
        <v>0</v>
      </c>
    </row>
    <row r="1196" spans="1:6" ht="25.5" customHeight="1">
      <c r="A1196" s="233" t="s">
        <v>1117</v>
      </c>
      <c r="B1196" s="234"/>
      <c r="C1196" s="62">
        <f>SUM(C1197:C1202)</f>
        <v>2000</v>
      </c>
      <c r="D1196" s="62">
        <f>SUM(D1197:D1202)</f>
        <v>2000</v>
      </c>
      <c r="E1196" s="130">
        <f>SUM(E1197:E1202)</f>
        <v>0</v>
      </c>
      <c r="F1196" s="14">
        <f t="shared" si="87"/>
        <v>0</v>
      </c>
    </row>
    <row r="1197" spans="1:6" ht="18" customHeight="1">
      <c r="A1197" s="229" t="s">
        <v>1025</v>
      </c>
      <c r="B1197" s="230"/>
      <c r="C1197" s="4">
        <v>2000</v>
      </c>
      <c r="D1197" s="4">
        <v>2000</v>
      </c>
      <c r="E1197" s="14">
        <v>0</v>
      </c>
      <c r="F1197" s="14">
        <f t="shared" si="87"/>
        <v>0</v>
      </c>
    </row>
    <row r="1198" spans="1:6" ht="18" customHeight="1">
      <c r="A1198" s="229" t="s">
        <v>1227</v>
      </c>
      <c r="B1198" s="230"/>
      <c r="C1198" s="4">
        <v>0</v>
      </c>
      <c r="D1198" s="4">
        <v>0</v>
      </c>
      <c r="E1198" s="14">
        <v>0</v>
      </c>
      <c r="F1198" s="14" t="e">
        <f t="shared" si="87"/>
        <v>#DIV/0!</v>
      </c>
    </row>
    <row r="1199" spans="1:6" ht="18" customHeight="1">
      <c r="A1199" s="229" t="s">
        <v>1231</v>
      </c>
      <c r="B1199" s="230"/>
      <c r="C1199" s="4">
        <v>0</v>
      </c>
      <c r="D1199" s="4">
        <v>0</v>
      </c>
      <c r="E1199" s="14">
        <v>0</v>
      </c>
      <c r="F1199" s="14" t="e">
        <f t="shared" si="87"/>
        <v>#DIV/0!</v>
      </c>
    </row>
    <row r="1200" spans="1:6" ht="18" customHeight="1">
      <c r="A1200" s="229" t="s">
        <v>1228</v>
      </c>
      <c r="B1200" s="230"/>
      <c r="C1200" s="4">
        <v>0</v>
      </c>
      <c r="D1200" s="4">
        <v>0</v>
      </c>
      <c r="E1200" s="14">
        <v>0</v>
      </c>
      <c r="F1200" s="14" t="e">
        <f t="shared" si="87"/>
        <v>#DIV/0!</v>
      </c>
    </row>
    <row r="1201" spans="1:6" ht="18" customHeight="1">
      <c r="A1201" s="229" t="s">
        <v>1229</v>
      </c>
      <c r="B1201" s="230"/>
      <c r="C1201" s="4">
        <v>0</v>
      </c>
      <c r="D1201" s="4">
        <v>0</v>
      </c>
      <c r="E1201" s="14">
        <v>0</v>
      </c>
      <c r="F1201" s="14" t="e">
        <f t="shared" si="87"/>
        <v>#DIV/0!</v>
      </c>
    </row>
    <row r="1202" spans="1:6" ht="18" customHeight="1">
      <c r="A1202" s="229" t="s">
        <v>1234</v>
      </c>
      <c r="B1202" s="230"/>
      <c r="C1202" s="4">
        <v>0</v>
      </c>
      <c r="D1202" s="4">
        <v>0</v>
      </c>
      <c r="E1202" s="14">
        <v>0</v>
      </c>
      <c r="F1202" s="14" t="e">
        <f t="shared" si="87"/>
        <v>#DIV/0!</v>
      </c>
    </row>
    <row r="1203" spans="1:6" ht="21" customHeight="1">
      <c r="A1203" s="39">
        <v>37</v>
      </c>
      <c r="B1203" s="74" t="s">
        <v>110</v>
      </c>
      <c r="C1203" s="4">
        <v>2000</v>
      </c>
      <c r="D1203" s="4">
        <v>2000</v>
      </c>
      <c r="E1203" s="14">
        <f aca="true" t="shared" si="92" ref="C1203:E1205">E1204</f>
        <v>0</v>
      </c>
      <c r="F1203" s="14">
        <f t="shared" si="87"/>
        <v>0</v>
      </c>
    </row>
    <row r="1204" spans="1:6" ht="18" customHeight="1">
      <c r="A1204" s="39">
        <v>372</v>
      </c>
      <c r="B1204" s="74" t="s">
        <v>111</v>
      </c>
      <c r="C1204" s="4">
        <v>0</v>
      </c>
      <c r="D1204" s="4">
        <v>0</v>
      </c>
      <c r="E1204" s="14">
        <f t="shared" si="92"/>
        <v>0</v>
      </c>
      <c r="F1204" s="14" t="e">
        <f aca="true" t="shared" si="93" ref="F1204:F1383">E1204/D1204*100</f>
        <v>#DIV/0!</v>
      </c>
    </row>
    <row r="1205" spans="1:6" ht="15" customHeight="1">
      <c r="A1205" s="39">
        <v>3722</v>
      </c>
      <c r="B1205" s="74" t="s">
        <v>114</v>
      </c>
      <c r="C1205" s="4">
        <f t="shared" si="92"/>
        <v>0</v>
      </c>
      <c r="D1205" s="4">
        <f t="shared" si="92"/>
        <v>0</v>
      </c>
      <c r="E1205" s="14">
        <f t="shared" si="92"/>
        <v>0</v>
      </c>
      <c r="F1205" s="14" t="e">
        <f t="shared" si="93"/>
        <v>#DIV/0!</v>
      </c>
    </row>
    <row r="1206" spans="1:6" ht="13.5" customHeight="1">
      <c r="A1206" s="74"/>
      <c r="B1206" s="74" t="s">
        <v>120</v>
      </c>
      <c r="C1206" s="4">
        <v>0</v>
      </c>
      <c r="D1206" s="4">
        <v>0</v>
      </c>
      <c r="E1206" s="14">
        <v>0</v>
      </c>
      <c r="F1206" s="14" t="e">
        <f t="shared" si="93"/>
        <v>#DIV/0!</v>
      </c>
    </row>
    <row r="1207" spans="1:6" ht="25.5" customHeight="1">
      <c r="A1207" s="237" t="s">
        <v>984</v>
      </c>
      <c r="B1207" s="238"/>
      <c r="C1207" s="5">
        <f>C1215</f>
        <v>34000</v>
      </c>
      <c r="D1207" s="5">
        <f>D1215</f>
        <v>34000</v>
      </c>
      <c r="E1207" s="132">
        <f>E1215</f>
        <v>21141.6</v>
      </c>
      <c r="F1207" s="14">
        <f t="shared" si="93"/>
        <v>62.18117647058823</v>
      </c>
    </row>
    <row r="1208" spans="1:6" ht="25.5" customHeight="1">
      <c r="A1208" s="233" t="s">
        <v>1116</v>
      </c>
      <c r="B1208" s="234"/>
      <c r="C1208" s="62">
        <f>SUM(C1209:C1214)</f>
        <v>34000</v>
      </c>
      <c r="D1208" s="62">
        <f>SUM(D1209:D1214)</f>
        <v>34000</v>
      </c>
      <c r="E1208" s="130">
        <f>SUM(E1209:E1214)</f>
        <v>21141.6</v>
      </c>
      <c r="F1208" s="14">
        <f t="shared" si="93"/>
        <v>62.18117647058823</v>
      </c>
    </row>
    <row r="1209" spans="1:6" ht="18" customHeight="1">
      <c r="A1209" s="229" t="s">
        <v>1025</v>
      </c>
      <c r="B1209" s="230"/>
      <c r="C1209" s="4">
        <v>34000</v>
      </c>
      <c r="D1209" s="4">
        <v>34000</v>
      </c>
      <c r="E1209" s="14">
        <v>21141.6</v>
      </c>
      <c r="F1209" s="14">
        <f t="shared" si="93"/>
        <v>62.18117647058823</v>
      </c>
    </row>
    <row r="1210" spans="1:6" ht="18" customHeight="1">
      <c r="A1210" s="229" t="s">
        <v>1026</v>
      </c>
      <c r="B1210" s="230"/>
      <c r="C1210" s="4">
        <v>0</v>
      </c>
      <c r="D1210" s="4">
        <v>0</v>
      </c>
      <c r="E1210" s="14">
        <v>0</v>
      </c>
      <c r="F1210" s="14" t="e">
        <f t="shared" si="93"/>
        <v>#DIV/0!</v>
      </c>
    </row>
    <row r="1211" spans="1:6" ht="18" customHeight="1">
      <c r="A1211" s="229" t="s">
        <v>1027</v>
      </c>
      <c r="B1211" s="230"/>
      <c r="C1211" s="4">
        <v>0</v>
      </c>
      <c r="D1211" s="4">
        <v>0</v>
      </c>
      <c r="E1211" s="14">
        <v>0</v>
      </c>
      <c r="F1211" s="14" t="e">
        <f t="shared" si="93"/>
        <v>#DIV/0!</v>
      </c>
    </row>
    <row r="1212" spans="1:6" ht="18" customHeight="1">
      <c r="A1212" s="229" t="s">
        <v>1028</v>
      </c>
      <c r="B1212" s="230"/>
      <c r="C1212" s="4">
        <v>0</v>
      </c>
      <c r="D1212" s="4">
        <v>0</v>
      </c>
      <c r="E1212" s="14">
        <v>0</v>
      </c>
      <c r="F1212" s="14" t="e">
        <f t="shared" si="93"/>
        <v>#DIV/0!</v>
      </c>
    </row>
    <row r="1213" spans="1:6" ht="18" customHeight="1">
      <c r="A1213" s="229" t="s">
        <v>1029</v>
      </c>
      <c r="B1213" s="230"/>
      <c r="C1213" s="4">
        <v>0</v>
      </c>
      <c r="D1213" s="4">
        <v>0</v>
      </c>
      <c r="E1213" s="14">
        <v>0</v>
      </c>
      <c r="F1213" s="14" t="e">
        <f t="shared" si="93"/>
        <v>#DIV/0!</v>
      </c>
    </row>
    <row r="1214" spans="1:6" ht="18" customHeight="1">
      <c r="A1214" s="229" t="s">
        <v>1030</v>
      </c>
      <c r="B1214" s="230"/>
      <c r="C1214" s="4">
        <v>0</v>
      </c>
      <c r="D1214" s="4">
        <v>0</v>
      </c>
      <c r="E1214" s="14">
        <v>0</v>
      </c>
      <c r="F1214" s="14" t="e">
        <f t="shared" si="93"/>
        <v>#DIV/0!</v>
      </c>
    </row>
    <row r="1215" spans="1:6" ht="21" customHeight="1">
      <c r="A1215" s="39">
        <v>38</v>
      </c>
      <c r="B1215" s="70" t="s">
        <v>556</v>
      </c>
      <c r="C1215" s="4">
        <v>34000</v>
      </c>
      <c r="D1215" s="4">
        <v>34000</v>
      </c>
      <c r="E1215" s="14">
        <f>E1216</f>
        <v>21141.6</v>
      </c>
      <c r="F1215" s="14">
        <f t="shared" si="93"/>
        <v>62.18117647058823</v>
      </c>
    </row>
    <row r="1216" spans="1:6" ht="18" customHeight="1">
      <c r="A1216" s="39">
        <v>381</v>
      </c>
      <c r="B1216" s="74" t="s">
        <v>67</v>
      </c>
      <c r="C1216" s="4">
        <v>0</v>
      </c>
      <c r="D1216" s="4">
        <v>0</v>
      </c>
      <c r="E1216" s="14">
        <f>E1217</f>
        <v>21141.6</v>
      </c>
      <c r="F1216" s="14" t="e">
        <f t="shared" si="93"/>
        <v>#DIV/0!</v>
      </c>
    </row>
    <row r="1217" spans="1:6" ht="15" customHeight="1">
      <c r="A1217" s="39">
        <v>3811</v>
      </c>
      <c r="B1217" s="74" t="s">
        <v>704</v>
      </c>
      <c r="C1217" s="4">
        <v>0</v>
      </c>
      <c r="D1217" s="4">
        <v>0</v>
      </c>
      <c r="E1217" s="14">
        <v>21141.6</v>
      </c>
      <c r="F1217" s="14" t="e">
        <f t="shared" si="93"/>
        <v>#DIV/0!</v>
      </c>
    </row>
    <row r="1218" spans="1:6" ht="25.5" customHeight="1">
      <c r="A1218" s="237" t="s">
        <v>985</v>
      </c>
      <c r="B1218" s="238"/>
      <c r="C1218" s="5">
        <f>C1226</f>
        <v>0</v>
      </c>
      <c r="D1218" s="5">
        <f>D1226</f>
        <v>0</v>
      </c>
      <c r="E1218" s="132">
        <f>E1226</f>
        <v>0</v>
      </c>
      <c r="F1218" s="14" t="e">
        <f t="shared" si="93"/>
        <v>#DIV/0!</v>
      </c>
    </row>
    <row r="1219" spans="1:6" ht="25.5" customHeight="1">
      <c r="A1219" s="233" t="s">
        <v>1118</v>
      </c>
      <c r="B1219" s="234"/>
      <c r="C1219" s="62">
        <f>SUM(C1220:C1225)</f>
        <v>0</v>
      </c>
      <c r="D1219" s="62">
        <f>SUM(D1220:D1225)</f>
        <v>0</v>
      </c>
      <c r="E1219" s="130">
        <f>SUM(E1220:E1225)</f>
        <v>0</v>
      </c>
      <c r="F1219" s="14" t="e">
        <f aca="true" t="shared" si="94" ref="F1219:F1225">E1219/D1219*100</f>
        <v>#DIV/0!</v>
      </c>
    </row>
    <row r="1220" spans="1:6" ht="18" customHeight="1">
      <c r="A1220" s="229" t="s">
        <v>1025</v>
      </c>
      <c r="B1220" s="230"/>
      <c r="C1220" s="4">
        <v>0</v>
      </c>
      <c r="D1220" s="4">
        <v>0</v>
      </c>
      <c r="E1220" s="14">
        <v>0</v>
      </c>
      <c r="F1220" s="14" t="e">
        <f t="shared" si="94"/>
        <v>#DIV/0!</v>
      </c>
    </row>
    <row r="1221" spans="1:6" ht="18" customHeight="1">
      <c r="A1221" s="229" t="s">
        <v>1227</v>
      </c>
      <c r="B1221" s="230"/>
      <c r="C1221" s="4">
        <v>0</v>
      </c>
      <c r="D1221" s="4">
        <v>0</v>
      </c>
      <c r="E1221" s="14">
        <v>0</v>
      </c>
      <c r="F1221" s="14" t="e">
        <f t="shared" si="94"/>
        <v>#DIV/0!</v>
      </c>
    </row>
    <row r="1222" spans="1:6" ht="18" customHeight="1">
      <c r="A1222" s="229" t="s">
        <v>1231</v>
      </c>
      <c r="B1222" s="230"/>
      <c r="C1222" s="4">
        <v>0</v>
      </c>
      <c r="D1222" s="4">
        <v>0</v>
      </c>
      <c r="E1222" s="14">
        <v>0</v>
      </c>
      <c r="F1222" s="14" t="e">
        <f t="shared" si="94"/>
        <v>#DIV/0!</v>
      </c>
    </row>
    <row r="1223" spans="1:6" ht="18" customHeight="1">
      <c r="A1223" s="229" t="s">
        <v>1228</v>
      </c>
      <c r="B1223" s="230"/>
      <c r="C1223" s="4">
        <v>0</v>
      </c>
      <c r="D1223" s="4">
        <v>0</v>
      </c>
      <c r="E1223" s="14">
        <v>0</v>
      </c>
      <c r="F1223" s="14" t="e">
        <f t="shared" si="94"/>
        <v>#DIV/0!</v>
      </c>
    </row>
    <row r="1224" spans="1:6" ht="18" customHeight="1">
      <c r="A1224" s="229" t="s">
        <v>1229</v>
      </c>
      <c r="B1224" s="230"/>
      <c r="C1224" s="4">
        <v>0</v>
      </c>
      <c r="D1224" s="4">
        <v>0</v>
      </c>
      <c r="E1224" s="14">
        <v>0</v>
      </c>
      <c r="F1224" s="14" t="e">
        <f t="shared" si="94"/>
        <v>#DIV/0!</v>
      </c>
    </row>
    <row r="1225" spans="1:6" ht="18" customHeight="1">
      <c r="A1225" s="229" t="s">
        <v>1234</v>
      </c>
      <c r="B1225" s="230"/>
      <c r="C1225" s="4">
        <v>0</v>
      </c>
      <c r="D1225" s="4">
        <v>0</v>
      </c>
      <c r="E1225" s="14">
        <v>0</v>
      </c>
      <c r="F1225" s="14" t="e">
        <f t="shared" si="94"/>
        <v>#DIV/0!</v>
      </c>
    </row>
    <row r="1226" spans="1:6" ht="21" customHeight="1">
      <c r="A1226" s="39">
        <v>42</v>
      </c>
      <c r="B1226" s="74" t="s">
        <v>121</v>
      </c>
      <c r="C1226" s="4">
        <f aca="true" t="shared" si="95" ref="C1226:E1227">C1227</f>
        <v>0</v>
      </c>
      <c r="D1226" s="4">
        <f t="shared" si="95"/>
        <v>0</v>
      </c>
      <c r="E1226" s="14">
        <f t="shared" si="95"/>
        <v>0</v>
      </c>
      <c r="F1226" s="14" t="e">
        <f t="shared" si="93"/>
        <v>#DIV/0!</v>
      </c>
    </row>
    <row r="1227" spans="1:6" ht="18" customHeight="1">
      <c r="A1227" s="39">
        <v>421</v>
      </c>
      <c r="B1227" s="74" t="s">
        <v>84</v>
      </c>
      <c r="C1227" s="4">
        <v>0</v>
      </c>
      <c r="D1227" s="4">
        <v>0</v>
      </c>
      <c r="E1227" s="14">
        <f t="shared" si="95"/>
        <v>0</v>
      </c>
      <c r="F1227" s="14" t="e">
        <f t="shared" si="93"/>
        <v>#DIV/0!</v>
      </c>
    </row>
    <row r="1228" spans="1:6" ht="15" customHeight="1">
      <c r="A1228" s="39">
        <v>4212</v>
      </c>
      <c r="B1228" s="74" t="s">
        <v>122</v>
      </c>
      <c r="C1228" s="4">
        <v>0</v>
      </c>
      <c r="D1228" s="4">
        <v>0</v>
      </c>
      <c r="E1228" s="14">
        <v>0</v>
      </c>
      <c r="F1228" s="14" t="e">
        <f t="shared" si="93"/>
        <v>#DIV/0!</v>
      </c>
    </row>
    <row r="1229" spans="1:6" ht="36" customHeight="1">
      <c r="A1229" s="243" t="s">
        <v>281</v>
      </c>
      <c r="B1229" s="244"/>
      <c r="C1229" s="100">
        <f>C1237</f>
        <v>949484</v>
      </c>
      <c r="D1229" s="100">
        <f>D1237</f>
        <v>949484</v>
      </c>
      <c r="E1229" s="134">
        <f>E1237</f>
        <v>372643.34</v>
      </c>
      <c r="F1229" s="59">
        <f t="shared" si="93"/>
        <v>39.24693201781178</v>
      </c>
    </row>
    <row r="1230" spans="1:6" ht="18" customHeight="1">
      <c r="A1230" s="229" t="s">
        <v>885</v>
      </c>
      <c r="B1230" s="230"/>
      <c r="C1230" s="4">
        <v>694719</v>
      </c>
      <c r="D1230" s="4">
        <v>694719</v>
      </c>
      <c r="E1230" s="14">
        <f>E1240+E1299</f>
        <v>264575</v>
      </c>
      <c r="F1230" s="14">
        <f aca="true" t="shared" si="96" ref="F1230:F1236">E1230/D1230*100</f>
        <v>38.08374321128399</v>
      </c>
    </row>
    <row r="1231" spans="1:9" ht="18" customHeight="1">
      <c r="A1231" s="229" t="s">
        <v>1272</v>
      </c>
      <c r="B1231" s="230"/>
      <c r="C1231" s="4">
        <v>1070</v>
      </c>
      <c r="D1231" s="4">
        <v>1070</v>
      </c>
      <c r="E1231" s="14">
        <f>E1241+E1300</f>
        <v>0</v>
      </c>
      <c r="F1231" s="14">
        <f t="shared" si="96"/>
        <v>0</v>
      </c>
      <c r="I1231" s="145"/>
    </row>
    <row r="1232" spans="1:8" ht="18" customHeight="1">
      <c r="A1232" s="229" t="s">
        <v>1273</v>
      </c>
      <c r="B1232" s="230"/>
      <c r="C1232" s="4">
        <v>128030</v>
      </c>
      <c r="D1232" s="4">
        <v>128030</v>
      </c>
      <c r="E1232" s="14">
        <f>E1242+E1301</f>
        <v>53304.11</v>
      </c>
      <c r="F1232" s="14">
        <f t="shared" si="96"/>
        <v>41.63407795048036</v>
      </c>
      <c r="H1232" s="137"/>
    </row>
    <row r="1233" spans="1:6" ht="18" customHeight="1">
      <c r="A1233" s="229" t="s">
        <v>1284</v>
      </c>
      <c r="B1233" s="230"/>
      <c r="C1233" s="4">
        <v>26600</v>
      </c>
      <c r="D1233" s="4">
        <v>26600</v>
      </c>
      <c r="E1233" s="14">
        <v>48128.09</v>
      </c>
      <c r="F1233" s="14">
        <f t="shared" si="96"/>
        <v>180.93266917293232</v>
      </c>
    </row>
    <row r="1234" spans="1:6" ht="18" customHeight="1">
      <c r="A1234" s="229" t="s">
        <v>1274</v>
      </c>
      <c r="B1234" s="230"/>
      <c r="C1234" s="4">
        <v>85115</v>
      </c>
      <c r="D1234" s="4">
        <v>85115</v>
      </c>
      <c r="E1234" s="14">
        <f>E1244</f>
        <v>0</v>
      </c>
      <c r="F1234" s="14">
        <f t="shared" si="96"/>
        <v>0</v>
      </c>
    </row>
    <row r="1235" spans="1:10" ht="18" customHeight="1">
      <c r="A1235" s="229" t="s">
        <v>1275</v>
      </c>
      <c r="B1235" s="230"/>
      <c r="C1235" s="4">
        <v>670</v>
      </c>
      <c r="D1235" s="4">
        <v>670</v>
      </c>
      <c r="E1235" s="14">
        <f>E1245+E1303</f>
        <v>0</v>
      </c>
      <c r="F1235" s="14">
        <f t="shared" si="96"/>
        <v>0</v>
      </c>
      <c r="H1235" s="137"/>
      <c r="I1235" s="137"/>
      <c r="J1235" s="145"/>
    </row>
    <row r="1236" spans="1:10" ht="18" customHeight="1">
      <c r="A1236" s="229" t="s">
        <v>1433</v>
      </c>
      <c r="B1236" s="230"/>
      <c r="C1236" s="4">
        <v>13280</v>
      </c>
      <c r="D1236" s="4">
        <v>13280</v>
      </c>
      <c r="E1236" s="14">
        <v>6636.14</v>
      </c>
      <c r="F1236" s="14">
        <f t="shared" si="96"/>
        <v>49.97093373493976</v>
      </c>
      <c r="H1236" s="137"/>
      <c r="I1236" s="137"/>
      <c r="J1236" s="137"/>
    </row>
    <row r="1237" spans="1:6" ht="30" customHeight="1">
      <c r="A1237" s="253" t="s">
        <v>567</v>
      </c>
      <c r="B1237" s="254"/>
      <c r="C1237" s="61">
        <f>C1238+C1297+C1309+C1313</f>
        <v>949484</v>
      </c>
      <c r="D1237" s="61">
        <f>D1238+D1297+D1309+D1313</f>
        <v>949484</v>
      </c>
      <c r="E1237" s="129">
        <f>E1238+E1297+E1309+E1313</f>
        <v>372643.34</v>
      </c>
      <c r="F1237" s="14">
        <f t="shared" si="93"/>
        <v>39.24693201781178</v>
      </c>
    </row>
    <row r="1238" spans="1:6" ht="25.5" customHeight="1">
      <c r="A1238" s="237" t="s">
        <v>641</v>
      </c>
      <c r="B1238" s="238"/>
      <c r="C1238" s="5">
        <f>C1247+C1288</f>
        <v>774379</v>
      </c>
      <c r="D1238" s="5">
        <f>D1247+D1288</f>
        <v>774379</v>
      </c>
      <c r="E1238" s="132">
        <f>E1247+E1288</f>
        <v>325890.45</v>
      </c>
      <c r="F1238" s="14">
        <f t="shared" si="93"/>
        <v>42.0841022290119</v>
      </c>
    </row>
    <row r="1239" spans="1:6" ht="25.5" customHeight="1">
      <c r="A1239" s="233" t="s">
        <v>1119</v>
      </c>
      <c r="B1239" s="234"/>
      <c r="C1239" s="62">
        <f>SUM(C1240:C1246)</f>
        <v>774379</v>
      </c>
      <c r="D1239" s="62">
        <f>SUM(D1240:D1246)</f>
        <v>774379</v>
      </c>
      <c r="E1239" s="130">
        <f>SUM(E1240:E1246)</f>
        <v>325890.45</v>
      </c>
      <c r="F1239" s="14">
        <f t="shared" si="93"/>
        <v>42.0841022290119</v>
      </c>
    </row>
    <row r="1240" spans="1:6" ht="18" customHeight="1">
      <c r="A1240" s="229" t="s">
        <v>1025</v>
      </c>
      <c r="B1240" s="230"/>
      <c r="C1240" s="4">
        <v>629319</v>
      </c>
      <c r="D1240" s="4">
        <v>629319</v>
      </c>
      <c r="E1240" s="14">
        <v>264575</v>
      </c>
      <c r="F1240" s="14">
        <f t="shared" si="93"/>
        <v>42.04147658023991</v>
      </c>
    </row>
    <row r="1241" spans="1:6" ht="18" customHeight="1">
      <c r="A1241" s="229" t="s">
        <v>1278</v>
      </c>
      <c r="B1241" s="230"/>
      <c r="C1241" s="4">
        <v>1070</v>
      </c>
      <c r="D1241" s="4">
        <v>1070</v>
      </c>
      <c r="E1241" s="14">
        <v>0</v>
      </c>
      <c r="F1241" s="14">
        <f t="shared" si="93"/>
        <v>0</v>
      </c>
    </row>
    <row r="1242" spans="1:6" ht="18" customHeight="1">
      <c r="A1242" s="229" t="s">
        <v>1276</v>
      </c>
      <c r="B1242" s="230"/>
      <c r="C1242" s="4">
        <v>128030</v>
      </c>
      <c r="D1242" s="4">
        <v>128030</v>
      </c>
      <c r="E1242" s="14">
        <v>53304.11</v>
      </c>
      <c r="F1242" s="14">
        <f t="shared" si="93"/>
        <v>41.63407795048036</v>
      </c>
    </row>
    <row r="1243" spans="1:6" ht="18" customHeight="1">
      <c r="A1243" s="229" t="s">
        <v>1277</v>
      </c>
      <c r="B1243" s="230"/>
      <c r="C1243" s="4">
        <v>0</v>
      </c>
      <c r="D1243" s="4">
        <v>0</v>
      </c>
      <c r="E1243" s="14">
        <v>1375.2</v>
      </c>
      <c r="F1243" s="14" t="e">
        <f>E1243/D1243*100</f>
        <v>#DIV/0!</v>
      </c>
    </row>
    <row r="1244" spans="1:6" ht="18" customHeight="1">
      <c r="A1244" s="229" t="s">
        <v>1279</v>
      </c>
      <c r="B1244" s="230"/>
      <c r="C1244" s="4">
        <v>2010</v>
      </c>
      <c r="D1244" s="4">
        <v>2010</v>
      </c>
      <c r="E1244" s="14">
        <v>0</v>
      </c>
      <c r="F1244" s="14">
        <f t="shared" si="93"/>
        <v>0</v>
      </c>
    </row>
    <row r="1245" spans="1:6" ht="18" customHeight="1">
      <c r="A1245" s="229" t="s">
        <v>1280</v>
      </c>
      <c r="B1245" s="230"/>
      <c r="C1245" s="4">
        <v>670</v>
      </c>
      <c r="D1245" s="4">
        <v>670</v>
      </c>
      <c r="E1245" s="14">
        <v>0</v>
      </c>
      <c r="F1245" s="14">
        <f t="shared" si="93"/>
        <v>0</v>
      </c>
    </row>
    <row r="1246" spans="1:6" ht="18" customHeight="1">
      <c r="A1246" s="229" t="s">
        <v>1434</v>
      </c>
      <c r="B1246" s="230"/>
      <c r="C1246" s="4">
        <v>13280</v>
      </c>
      <c r="D1246" s="4">
        <v>13280</v>
      </c>
      <c r="E1246" s="14">
        <v>6636.14</v>
      </c>
      <c r="F1246" s="14">
        <f t="shared" si="93"/>
        <v>49.97093373493976</v>
      </c>
    </row>
    <row r="1247" spans="1:6" ht="22.5" customHeight="1">
      <c r="A1247" s="39">
        <v>3</v>
      </c>
      <c r="B1247" s="74" t="s">
        <v>58</v>
      </c>
      <c r="C1247" s="4">
        <f>C1248+C1256+C1285</f>
        <v>769169</v>
      </c>
      <c r="D1247" s="4">
        <f>D1248+D1256+D1285</f>
        <v>769169</v>
      </c>
      <c r="E1247" s="14">
        <f>E1248+E1256+E1285</f>
        <v>323387.69</v>
      </c>
      <c r="F1247" s="14">
        <f t="shared" si="93"/>
        <v>42.04377581519796</v>
      </c>
    </row>
    <row r="1248" spans="1:6" ht="21" customHeight="1">
      <c r="A1248" s="39">
        <v>31</v>
      </c>
      <c r="B1248" s="74" t="s">
        <v>123</v>
      </c>
      <c r="C1248" s="4">
        <v>586539</v>
      </c>
      <c r="D1248" s="4">
        <v>586539</v>
      </c>
      <c r="E1248" s="14">
        <f>E1249+E1251+E1253</f>
        <v>250182.57</v>
      </c>
      <c r="F1248" s="14">
        <f t="shared" si="93"/>
        <v>42.65403835039102</v>
      </c>
    </row>
    <row r="1249" spans="1:6" ht="18" customHeight="1">
      <c r="A1249" s="39">
        <v>311</v>
      </c>
      <c r="B1249" s="74" t="s">
        <v>324</v>
      </c>
      <c r="C1249" s="4">
        <v>0</v>
      </c>
      <c r="D1249" s="4">
        <v>0</v>
      </c>
      <c r="E1249" s="14">
        <f>E1250</f>
        <v>196728.44</v>
      </c>
      <c r="F1249" s="14" t="e">
        <f t="shared" si="93"/>
        <v>#DIV/0!</v>
      </c>
    </row>
    <row r="1250" spans="1:6" ht="15" customHeight="1">
      <c r="A1250" s="39">
        <v>3111</v>
      </c>
      <c r="B1250" s="74" t="s">
        <v>124</v>
      </c>
      <c r="C1250" s="4">
        <v>0</v>
      </c>
      <c r="D1250" s="4">
        <v>0</v>
      </c>
      <c r="E1250" s="14">
        <v>196728.44</v>
      </c>
      <c r="F1250" s="14" t="e">
        <f t="shared" si="93"/>
        <v>#DIV/0!</v>
      </c>
    </row>
    <row r="1251" spans="1:6" ht="18" customHeight="1">
      <c r="A1251" s="39">
        <v>312</v>
      </c>
      <c r="B1251" s="74" t="s">
        <v>125</v>
      </c>
      <c r="C1251" s="4">
        <v>0</v>
      </c>
      <c r="D1251" s="4">
        <v>0</v>
      </c>
      <c r="E1251" s="14">
        <f>E1252</f>
        <v>20993.95</v>
      </c>
      <c r="F1251" s="14" t="e">
        <f t="shared" si="93"/>
        <v>#DIV/0!</v>
      </c>
    </row>
    <row r="1252" spans="1:6" ht="15" customHeight="1">
      <c r="A1252" s="39">
        <v>3121</v>
      </c>
      <c r="B1252" s="74" t="s">
        <v>126</v>
      </c>
      <c r="C1252" s="4">
        <v>0</v>
      </c>
      <c r="D1252" s="4">
        <v>0</v>
      </c>
      <c r="E1252" s="14">
        <v>20993.95</v>
      </c>
      <c r="F1252" s="14" t="e">
        <f t="shared" si="93"/>
        <v>#DIV/0!</v>
      </c>
    </row>
    <row r="1253" spans="1:6" ht="18" customHeight="1">
      <c r="A1253" s="39">
        <v>313</v>
      </c>
      <c r="B1253" s="74" t="s">
        <v>127</v>
      </c>
      <c r="C1253" s="4">
        <v>0</v>
      </c>
      <c r="D1253" s="4">
        <v>0</v>
      </c>
      <c r="E1253" s="14">
        <f>SUM(E1254:E1255)</f>
        <v>32460.18</v>
      </c>
      <c r="F1253" s="14" t="e">
        <f t="shared" si="93"/>
        <v>#DIV/0!</v>
      </c>
    </row>
    <row r="1254" spans="1:6" ht="15" customHeight="1">
      <c r="A1254" s="39">
        <v>3132</v>
      </c>
      <c r="B1254" s="70" t="s">
        <v>340</v>
      </c>
      <c r="C1254" s="4">
        <v>0</v>
      </c>
      <c r="D1254" s="4">
        <v>0</v>
      </c>
      <c r="E1254" s="14">
        <v>32460.18</v>
      </c>
      <c r="F1254" s="14" t="e">
        <f t="shared" si="93"/>
        <v>#DIV/0!</v>
      </c>
    </row>
    <row r="1255" spans="1:6" ht="15" customHeight="1">
      <c r="A1255" s="39">
        <v>3133</v>
      </c>
      <c r="B1255" s="70" t="s">
        <v>341</v>
      </c>
      <c r="C1255" s="4">
        <v>0</v>
      </c>
      <c r="D1255" s="4">
        <v>0</v>
      </c>
      <c r="E1255" s="14">
        <v>0</v>
      </c>
      <c r="F1255" s="14" t="e">
        <f t="shared" si="93"/>
        <v>#DIV/0!</v>
      </c>
    </row>
    <row r="1256" spans="1:6" ht="21" customHeight="1">
      <c r="A1256" s="39">
        <v>32</v>
      </c>
      <c r="B1256" s="74" t="s">
        <v>271</v>
      </c>
      <c r="C1256" s="4">
        <v>180640</v>
      </c>
      <c r="D1256" s="4">
        <v>180640</v>
      </c>
      <c r="E1256" s="14">
        <f>E1257+E1262+E1268+E1277+E1279</f>
        <v>72646.54000000001</v>
      </c>
      <c r="F1256" s="14">
        <f t="shared" si="93"/>
        <v>40.216197962798944</v>
      </c>
    </row>
    <row r="1257" spans="1:6" ht="18" customHeight="1">
      <c r="A1257" s="81">
        <v>321</v>
      </c>
      <c r="B1257" s="74" t="s">
        <v>143</v>
      </c>
      <c r="C1257" s="4">
        <v>0</v>
      </c>
      <c r="D1257" s="4">
        <v>0</v>
      </c>
      <c r="E1257" s="14">
        <f>SUM(E1258:E1261)</f>
        <v>17305.95</v>
      </c>
      <c r="F1257" s="14" t="e">
        <f t="shared" si="93"/>
        <v>#DIV/0!</v>
      </c>
    </row>
    <row r="1258" spans="1:6" ht="15" customHeight="1">
      <c r="A1258" s="81">
        <v>3211</v>
      </c>
      <c r="B1258" s="74" t="s">
        <v>705</v>
      </c>
      <c r="C1258" s="4">
        <v>0</v>
      </c>
      <c r="D1258" s="4">
        <v>0</v>
      </c>
      <c r="E1258" s="14">
        <v>1673.57</v>
      </c>
      <c r="F1258" s="14" t="e">
        <f t="shared" si="93"/>
        <v>#DIV/0!</v>
      </c>
    </row>
    <row r="1259" spans="1:6" ht="15" customHeight="1">
      <c r="A1259" s="81">
        <v>3212</v>
      </c>
      <c r="B1259" s="74" t="s">
        <v>145</v>
      </c>
      <c r="C1259" s="4">
        <v>0</v>
      </c>
      <c r="D1259" s="4">
        <v>0</v>
      </c>
      <c r="E1259" s="14">
        <v>14508.5</v>
      </c>
      <c r="F1259" s="14" t="e">
        <f t="shared" si="93"/>
        <v>#DIV/0!</v>
      </c>
    </row>
    <row r="1260" spans="1:6" ht="15" customHeight="1">
      <c r="A1260" s="81">
        <v>3213</v>
      </c>
      <c r="B1260" s="74" t="s">
        <v>706</v>
      </c>
      <c r="C1260" s="4">
        <v>0</v>
      </c>
      <c r="D1260" s="4">
        <v>0</v>
      </c>
      <c r="E1260" s="14">
        <v>745.08</v>
      </c>
      <c r="F1260" s="14" t="e">
        <f>E1260/D1260*100</f>
        <v>#DIV/0!</v>
      </c>
    </row>
    <row r="1261" spans="1:6" ht="15" customHeight="1">
      <c r="A1261" s="81">
        <v>3214</v>
      </c>
      <c r="B1261" s="74" t="s">
        <v>1342</v>
      </c>
      <c r="C1261" s="4">
        <v>0</v>
      </c>
      <c r="D1261" s="4">
        <v>0</v>
      </c>
      <c r="E1261" s="14">
        <v>378.8</v>
      </c>
      <c r="F1261" s="14" t="e">
        <f>E1261/D1261*100</f>
        <v>#DIV/0!</v>
      </c>
    </row>
    <row r="1262" spans="1:6" ht="18" customHeight="1">
      <c r="A1262" s="66">
        <v>322</v>
      </c>
      <c r="B1262" s="3" t="s">
        <v>19</v>
      </c>
      <c r="C1262" s="4">
        <v>0</v>
      </c>
      <c r="D1262" s="4">
        <v>0</v>
      </c>
      <c r="E1262" s="14">
        <f>SUM(E1263:E1267)</f>
        <v>29852.050000000003</v>
      </c>
      <c r="F1262" s="14" t="e">
        <f t="shared" si="93"/>
        <v>#DIV/0!</v>
      </c>
    </row>
    <row r="1263" spans="1:6" ht="15" customHeight="1">
      <c r="A1263" s="66">
        <v>3221</v>
      </c>
      <c r="B1263" s="3" t="s">
        <v>275</v>
      </c>
      <c r="C1263" s="4">
        <v>0</v>
      </c>
      <c r="D1263" s="4">
        <v>0</v>
      </c>
      <c r="E1263" s="14">
        <v>10132.48</v>
      </c>
      <c r="F1263" s="14" t="e">
        <f t="shared" si="93"/>
        <v>#DIV/0!</v>
      </c>
    </row>
    <row r="1264" spans="1:6" ht="15" customHeight="1">
      <c r="A1264" s="66">
        <v>3222</v>
      </c>
      <c r="B1264" s="3" t="s">
        <v>707</v>
      </c>
      <c r="C1264" s="4">
        <v>0</v>
      </c>
      <c r="D1264" s="4">
        <v>0</v>
      </c>
      <c r="E1264" s="14">
        <v>12859.03</v>
      </c>
      <c r="F1264" s="14" t="e">
        <f>E1264/D1264*100</f>
        <v>#DIV/0!</v>
      </c>
    </row>
    <row r="1265" spans="1:6" ht="15" customHeight="1">
      <c r="A1265" s="66">
        <v>3223</v>
      </c>
      <c r="B1265" s="3" t="s">
        <v>140</v>
      </c>
      <c r="C1265" s="4">
        <v>0</v>
      </c>
      <c r="D1265" s="4">
        <v>0</v>
      </c>
      <c r="E1265" s="14">
        <v>5446.05</v>
      </c>
      <c r="F1265" s="14" t="e">
        <f t="shared" si="93"/>
        <v>#DIV/0!</v>
      </c>
    </row>
    <row r="1266" spans="1:6" ht="15" customHeight="1">
      <c r="A1266" s="66">
        <v>3224</v>
      </c>
      <c r="B1266" s="3" t="s">
        <v>278</v>
      </c>
      <c r="C1266" s="4">
        <v>0</v>
      </c>
      <c r="D1266" s="4">
        <v>0</v>
      </c>
      <c r="E1266" s="14">
        <v>1414.49</v>
      </c>
      <c r="F1266" s="14" t="e">
        <f>E1266/D1266*100</f>
        <v>#DIV/0!</v>
      </c>
    </row>
    <row r="1267" spans="1:6" ht="15" customHeight="1">
      <c r="A1267" s="66">
        <v>3227</v>
      </c>
      <c r="B1267" s="3" t="s">
        <v>708</v>
      </c>
      <c r="C1267" s="4">
        <v>0</v>
      </c>
      <c r="D1267" s="4">
        <v>0</v>
      </c>
      <c r="E1267" s="14">
        <v>0</v>
      </c>
      <c r="F1267" s="14" t="e">
        <f t="shared" si="93"/>
        <v>#DIV/0!</v>
      </c>
    </row>
    <row r="1268" spans="1:6" ht="18" customHeight="1">
      <c r="A1268" s="39" t="s">
        <v>134</v>
      </c>
      <c r="B1268" s="74" t="s">
        <v>0</v>
      </c>
      <c r="C1268" s="4">
        <v>0</v>
      </c>
      <c r="D1268" s="4">
        <v>0</v>
      </c>
      <c r="E1268" s="14">
        <f>SUM(E1269:E1276)</f>
        <v>19568.57</v>
      </c>
      <c r="F1268" s="14" t="e">
        <f aca="true" t="shared" si="97" ref="F1268:F1278">E1268/D1268*100</f>
        <v>#DIV/0!</v>
      </c>
    </row>
    <row r="1269" spans="1:6" ht="15" customHeight="1">
      <c r="A1269" s="39" t="s">
        <v>709</v>
      </c>
      <c r="B1269" s="74" t="s">
        <v>710</v>
      </c>
      <c r="C1269" s="4">
        <v>0</v>
      </c>
      <c r="D1269" s="4">
        <v>0</v>
      </c>
      <c r="E1269" s="14">
        <v>1062.68</v>
      </c>
      <c r="F1269" s="14" t="e">
        <f t="shared" si="97"/>
        <v>#DIV/0!</v>
      </c>
    </row>
    <row r="1270" spans="1:6" ht="15" customHeight="1">
      <c r="A1270" s="39" t="s">
        <v>135</v>
      </c>
      <c r="B1270" s="74" t="s">
        <v>711</v>
      </c>
      <c r="C1270" s="4">
        <v>0</v>
      </c>
      <c r="D1270" s="4">
        <v>0</v>
      </c>
      <c r="E1270" s="14">
        <v>2837.85</v>
      </c>
      <c r="F1270" s="14" t="e">
        <f t="shared" si="97"/>
        <v>#DIV/0!</v>
      </c>
    </row>
    <row r="1271" spans="1:6" ht="15" customHeight="1">
      <c r="A1271" s="39" t="s">
        <v>692</v>
      </c>
      <c r="B1271" s="74" t="s">
        <v>1</v>
      </c>
      <c r="C1271" s="4">
        <v>0</v>
      </c>
      <c r="D1271" s="4">
        <v>0</v>
      </c>
      <c r="E1271" s="14">
        <v>225</v>
      </c>
      <c r="F1271" s="14" t="e">
        <f t="shared" si="97"/>
        <v>#DIV/0!</v>
      </c>
    </row>
    <row r="1272" spans="1:6" ht="15" customHeight="1">
      <c r="A1272" s="39" t="s">
        <v>558</v>
      </c>
      <c r="B1272" s="74" t="s">
        <v>92</v>
      </c>
      <c r="C1272" s="4">
        <v>0</v>
      </c>
      <c r="D1272" s="4">
        <v>0</v>
      </c>
      <c r="E1272" s="14">
        <v>1453.51</v>
      </c>
      <c r="F1272" s="14" t="e">
        <f t="shared" si="97"/>
        <v>#DIV/0!</v>
      </c>
    </row>
    <row r="1273" spans="1:6" ht="15" customHeight="1">
      <c r="A1273" s="39" t="s">
        <v>96</v>
      </c>
      <c r="B1273" s="74" t="s">
        <v>712</v>
      </c>
      <c r="C1273" s="4">
        <v>0</v>
      </c>
      <c r="D1273" s="4">
        <v>0</v>
      </c>
      <c r="E1273" s="14">
        <v>614.48</v>
      </c>
      <c r="F1273" s="14" t="e">
        <f>E1273/D1273*100</f>
        <v>#DIV/0!</v>
      </c>
    </row>
    <row r="1274" spans="1:6" ht="15" customHeight="1">
      <c r="A1274" s="39" t="s">
        <v>35</v>
      </c>
      <c r="B1274" s="74" t="s">
        <v>36</v>
      </c>
      <c r="C1274" s="4">
        <v>0</v>
      </c>
      <c r="D1274" s="4">
        <v>0</v>
      </c>
      <c r="E1274" s="14">
        <v>9552.43</v>
      </c>
      <c r="F1274" s="14" t="e">
        <f>E1274/D1274*100</f>
        <v>#DIV/0!</v>
      </c>
    </row>
    <row r="1275" spans="1:6" ht="15" customHeight="1">
      <c r="A1275" s="39" t="s">
        <v>674</v>
      </c>
      <c r="B1275" s="74" t="s">
        <v>713</v>
      </c>
      <c r="C1275" s="4">
        <v>0</v>
      </c>
      <c r="D1275" s="4">
        <v>0</v>
      </c>
      <c r="E1275" s="14">
        <v>1689.98</v>
      </c>
      <c r="F1275" s="14" t="e">
        <f>E1275/D1275*100</f>
        <v>#DIV/0!</v>
      </c>
    </row>
    <row r="1276" spans="1:6" ht="15" customHeight="1">
      <c r="A1276" s="39" t="s">
        <v>337</v>
      </c>
      <c r="B1276" s="74" t="s">
        <v>2</v>
      </c>
      <c r="C1276" s="4">
        <v>0</v>
      </c>
      <c r="D1276" s="4">
        <v>0</v>
      </c>
      <c r="E1276" s="14">
        <v>2132.64</v>
      </c>
      <c r="F1276" s="14" t="e">
        <f t="shared" si="97"/>
        <v>#DIV/0!</v>
      </c>
    </row>
    <row r="1277" spans="1:6" ht="18" customHeight="1">
      <c r="A1277" s="39" t="s">
        <v>300</v>
      </c>
      <c r="B1277" s="74" t="s">
        <v>714</v>
      </c>
      <c r="C1277" s="4">
        <f>C1278</f>
        <v>0</v>
      </c>
      <c r="D1277" s="4">
        <f>D1278</f>
        <v>0</v>
      </c>
      <c r="E1277" s="14">
        <f>E1278</f>
        <v>0</v>
      </c>
      <c r="F1277" s="14" t="e">
        <f t="shared" si="97"/>
        <v>#DIV/0!</v>
      </c>
    </row>
    <row r="1278" spans="1:6" ht="15" customHeight="1">
      <c r="A1278" s="39" t="s">
        <v>302</v>
      </c>
      <c r="B1278" s="74" t="s">
        <v>715</v>
      </c>
      <c r="C1278" s="4">
        <v>0</v>
      </c>
      <c r="D1278" s="4">
        <v>0</v>
      </c>
      <c r="E1278" s="14">
        <v>0</v>
      </c>
      <c r="F1278" s="14" t="e">
        <f t="shared" si="97"/>
        <v>#DIV/0!</v>
      </c>
    </row>
    <row r="1279" spans="1:6" ht="18" customHeight="1">
      <c r="A1279" s="39">
        <v>329</v>
      </c>
      <c r="B1279" s="74" t="s">
        <v>17</v>
      </c>
      <c r="C1279" s="4">
        <v>0</v>
      </c>
      <c r="D1279" s="4">
        <v>0</v>
      </c>
      <c r="E1279" s="14">
        <f>SUM(E1280:E1284)</f>
        <v>5919.97</v>
      </c>
      <c r="F1279" s="14" t="e">
        <f t="shared" si="93"/>
        <v>#DIV/0!</v>
      </c>
    </row>
    <row r="1280" spans="1:6" ht="15" customHeight="1">
      <c r="A1280" s="39">
        <v>3291</v>
      </c>
      <c r="B1280" s="74" t="s">
        <v>18</v>
      </c>
      <c r="C1280" s="4">
        <v>0</v>
      </c>
      <c r="D1280" s="4">
        <v>0</v>
      </c>
      <c r="E1280" s="14">
        <v>0</v>
      </c>
      <c r="F1280" s="14" t="e">
        <f>E1280/D1280*100</f>
        <v>#DIV/0!</v>
      </c>
    </row>
    <row r="1281" spans="1:6" ht="15" customHeight="1">
      <c r="A1281" s="39" t="s">
        <v>716</v>
      </c>
      <c r="B1281" s="74" t="s">
        <v>4</v>
      </c>
      <c r="C1281" s="4">
        <v>0</v>
      </c>
      <c r="D1281" s="4">
        <v>0</v>
      </c>
      <c r="E1281" s="14">
        <v>4099.03</v>
      </c>
      <c r="F1281" s="14" t="e">
        <f>E1281/D1281*100</f>
        <v>#DIV/0!</v>
      </c>
    </row>
    <row r="1282" spans="1:6" ht="15" customHeight="1">
      <c r="A1282" s="39" t="s">
        <v>717</v>
      </c>
      <c r="B1282" s="74" t="s">
        <v>718</v>
      </c>
      <c r="C1282" s="4">
        <v>0</v>
      </c>
      <c r="D1282" s="4">
        <v>0</v>
      </c>
      <c r="E1282" s="14">
        <v>0</v>
      </c>
      <c r="F1282" s="14" t="e">
        <f>E1282/D1282*100</f>
        <v>#DIV/0!</v>
      </c>
    </row>
    <row r="1283" spans="1:6" ht="15" customHeight="1">
      <c r="A1283" s="39" t="s">
        <v>331</v>
      </c>
      <c r="B1283" s="74" t="s">
        <v>335</v>
      </c>
      <c r="C1283" s="4">
        <v>0</v>
      </c>
      <c r="D1283" s="4">
        <v>0</v>
      </c>
      <c r="E1283" s="14">
        <v>824.43</v>
      </c>
      <c r="F1283" s="14" t="e">
        <f>E1283/D1283*100</f>
        <v>#DIV/0!</v>
      </c>
    </row>
    <row r="1284" spans="1:6" ht="15" customHeight="1">
      <c r="A1284" s="81">
        <v>3299</v>
      </c>
      <c r="B1284" s="74" t="s">
        <v>719</v>
      </c>
      <c r="C1284" s="4">
        <v>0</v>
      </c>
      <c r="D1284" s="4">
        <v>0</v>
      </c>
      <c r="E1284" s="14">
        <v>996.51</v>
      </c>
      <c r="F1284" s="14" t="e">
        <f t="shared" si="93"/>
        <v>#DIV/0!</v>
      </c>
    </row>
    <row r="1285" spans="1:6" ht="21" customHeight="1">
      <c r="A1285" s="39" t="s">
        <v>720</v>
      </c>
      <c r="B1285" s="74" t="s">
        <v>59</v>
      </c>
      <c r="C1285" s="4">
        <v>1990</v>
      </c>
      <c r="D1285" s="4">
        <v>1990</v>
      </c>
      <c r="E1285" s="14">
        <f>E1286</f>
        <v>558.58</v>
      </c>
      <c r="F1285" s="14">
        <f aca="true" t="shared" si="98" ref="F1285:F1291">E1285/D1285*100</f>
        <v>28.069346733668343</v>
      </c>
    </row>
    <row r="1286" spans="1:6" ht="18" customHeight="1">
      <c r="A1286" s="81">
        <v>343</v>
      </c>
      <c r="B1286" s="74" t="s">
        <v>60</v>
      </c>
      <c r="C1286" s="4">
        <v>0</v>
      </c>
      <c r="D1286" s="4">
        <v>0</v>
      </c>
      <c r="E1286" s="14">
        <f>SUM(E1287:E1287)</f>
        <v>558.58</v>
      </c>
      <c r="F1286" s="14" t="e">
        <f t="shared" si="98"/>
        <v>#DIV/0!</v>
      </c>
    </row>
    <row r="1287" spans="1:6" ht="15" customHeight="1">
      <c r="A1287" s="81">
        <v>3431</v>
      </c>
      <c r="B1287" s="74" t="s">
        <v>721</v>
      </c>
      <c r="C1287" s="4">
        <v>0</v>
      </c>
      <c r="D1287" s="4">
        <v>0</v>
      </c>
      <c r="E1287" s="14">
        <v>558.58</v>
      </c>
      <c r="F1287" s="14" t="e">
        <f t="shared" si="98"/>
        <v>#DIV/0!</v>
      </c>
    </row>
    <row r="1288" spans="1:6" ht="22.5" customHeight="1">
      <c r="A1288" s="66">
        <v>4</v>
      </c>
      <c r="B1288" s="3" t="s">
        <v>26</v>
      </c>
      <c r="C1288" s="4">
        <f>SUM(C1289)</f>
        <v>5210</v>
      </c>
      <c r="D1288" s="4">
        <f>SUM(D1289)</f>
        <v>5210</v>
      </c>
      <c r="E1288" s="14">
        <f>SUM(E1289)</f>
        <v>2502.76</v>
      </c>
      <c r="F1288" s="14">
        <f t="shared" si="98"/>
        <v>48.037619961612286</v>
      </c>
    </row>
    <row r="1289" spans="1:6" ht="21" customHeight="1">
      <c r="A1289" s="66">
        <v>42</v>
      </c>
      <c r="B1289" s="3" t="s">
        <v>9</v>
      </c>
      <c r="C1289" s="4">
        <v>5210</v>
      </c>
      <c r="D1289" s="4">
        <v>5210</v>
      </c>
      <c r="E1289" s="14">
        <f>E1290+E1295</f>
        <v>2502.76</v>
      </c>
      <c r="F1289" s="14">
        <f t="shared" si="98"/>
        <v>48.037619961612286</v>
      </c>
    </row>
    <row r="1290" spans="1:6" ht="18" customHeight="1">
      <c r="A1290" s="66">
        <v>422</v>
      </c>
      <c r="B1290" s="3" t="s">
        <v>10</v>
      </c>
      <c r="C1290" s="4">
        <v>0</v>
      </c>
      <c r="D1290" s="4">
        <v>0</v>
      </c>
      <c r="E1290" s="14">
        <f>SUM(E1291:E1294)</f>
        <v>2502.76</v>
      </c>
      <c r="F1290" s="14" t="e">
        <f t="shared" si="98"/>
        <v>#DIV/0!</v>
      </c>
    </row>
    <row r="1291" spans="1:6" ht="15" customHeight="1">
      <c r="A1291" s="66">
        <v>4221</v>
      </c>
      <c r="B1291" s="3" t="s">
        <v>722</v>
      </c>
      <c r="C1291" s="4">
        <v>0</v>
      </c>
      <c r="D1291" s="4">
        <v>0</v>
      </c>
      <c r="E1291" s="14">
        <v>235</v>
      </c>
      <c r="F1291" s="14" t="e">
        <f t="shared" si="98"/>
        <v>#DIV/0!</v>
      </c>
    </row>
    <row r="1292" spans="1:6" ht="15" customHeight="1">
      <c r="A1292" s="66">
        <v>4222</v>
      </c>
      <c r="B1292" s="3" t="s">
        <v>12</v>
      </c>
      <c r="C1292" s="4">
        <v>0</v>
      </c>
      <c r="D1292" s="4">
        <v>0</v>
      </c>
      <c r="E1292" s="14">
        <v>0</v>
      </c>
      <c r="F1292" s="14" t="e">
        <f>E1292/D1292*100</f>
        <v>#DIV/0!</v>
      </c>
    </row>
    <row r="1293" spans="1:6" ht="15" customHeight="1">
      <c r="A1293" s="66">
        <v>4223</v>
      </c>
      <c r="B1293" s="3" t="s">
        <v>13</v>
      </c>
      <c r="C1293" s="4">
        <v>0</v>
      </c>
      <c r="D1293" s="4">
        <v>0</v>
      </c>
      <c r="E1293" s="14">
        <v>351.24</v>
      </c>
      <c r="F1293" s="14" t="e">
        <f>E1293/D1293*100</f>
        <v>#DIV/0!</v>
      </c>
    </row>
    <row r="1294" spans="1:6" ht="15" customHeight="1">
      <c r="A1294" s="66">
        <v>4227</v>
      </c>
      <c r="B1294" s="3" t="s">
        <v>743</v>
      </c>
      <c r="C1294" s="4">
        <v>0</v>
      </c>
      <c r="D1294" s="4">
        <v>0</v>
      </c>
      <c r="E1294" s="14">
        <v>1916.52</v>
      </c>
      <c r="F1294" s="14" t="e">
        <f>E1294/D1294*100</f>
        <v>#DIV/0!</v>
      </c>
    </row>
    <row r="1295" spans="1:6" ht="18" customHeight="1">
      <c r="A1295" s="66">
        <v>426</v>
      </c>
      <c r="B1295" s="3" t="s">
        <v>723</v>
      </c>
      <c r="C1295" s="4">
        <v>0</v>
      </c>
      <c r="D1295" s="4">
        <v>0</v>
      </c>
      <c r="E1295" s="14">
        <f>E1296</f>
        <v>0</v>
      </c>
      <c r="F1295" s="14" t="e">
        <f>E1295/D1295*100</f>
        <v>#DIV/0!</v>
      </c>
    </row>
    <row r="1296" spans="1:6" ht="15" customHeight="1">
      <c r="A1296" s="66">
        <v>4262</v>
      </c>
      <c r="B1296" s="3" t="s">
        <v>15</v>
      </c>
      <c r="C1296" s="4">
        <v>0</v>
      </c>
      <c r="D1296" s="4">
        <v>0</v>
      </c>
      <c r="E1296" s="14">
        <v>0</v>
      </c>
      <c r="F1296" s="14" t="e">
        <f>E1296/D1296*100</f>
        <v>#DIV/0!</v>
      </c>
    </row>
    <row r="1297" spans="1:6" ht="25.5" customHeight="1">
      <c r="A1297" s="237" t="s">
        <v>1380</v>
      </c>
      <c r="B1297" s="238"/>
      <c r="C1297" s="5">
        <f>C1306</f>
        <v>92000</v>
      </c>
      <c r="D1297" s="5">
        <f>D1306</f>
        <v>92000</v>
      </c>
      <c r="E1297" s="132">
        <f>E1306</f>
        <v>0</v>
      </c>
      <c r="F1297" s="14">
        <f t="shared" si="93"/>
        <v>0</v>
      </c>
    </row>
    <row r="1298" spans="1:6" ht="25.5" customHeight="1">
      <c r="A1298" s="233" t="s">
        <v>1120</v>
      </c>
      <c r="B1298" s="234"/>
      <c r="C1298" s="62">
        <f>SUM(C1299:C1304)</f>
        <v>92000</v>
      </c>
      <c r="D1298" s="62">
        <f>SUM(D1299:D1304)</f>
        <v>92000</v>
      </c>
      <c r="E1298" s="130">
        <f>SUM(E1299:E1305)</f>
        <v>0</v>
      </c>
      <c r="F1298" s="14">
        <f t="shared" si="93"/>
        <v>0</v>
      </c>
    </row>
    <row r="1299" spans="1:6" ht="18" customHeight="1">
      <c r="A1299" s="229" t="s">
        <v>1025</v>
      </c>
      <c r="B1299" s="230"/>
      <c r="C1299" s="4">
        <v>65400</v>
      </c>
      <c r="D1299" s="4">
        <v>65400</v>
      </c>
      <c r="E1299" s="14">
        <v>0</v>
      </c>
      <c r="F1299" s="14">
        <f t="shared" si="93"/>
        <v>0</v>
      </c>
    </row>
    <row r="1300" spans="1:6" ht="18" customHeight="1">
      <c r="A1300" s="229" t="s">
        <v>1281</v>
      </c>
      <c r="B1300" s="230"/>
      <c r="C1300" s="4">
        <v>0</v>
      </c>
      <c r="D1300" s="4">
        <v>0</v>
      </c>
      <c r="E1300" s="14">
        <v>0</v>
      </c>
      <c r="F1300" s="14" t="e">
        <f t="shared" si="93"/>
        <v>#DIV/0!</v>
      </c>
    </row>
    <row r="1301" spans="1:6" ht="18" customHeight="1">
      <c r="A1301" s="229" t="s">
        <v>1282</v>
      </c>
      <c r="B1301" s="230"/>
      <c r="C1301" s="4">
        <v>0</v>
      </c>
      <c r="D1301" s="4">
        <v>0</v>
      </c>
      <c r="E1301" s="14">
        <v>0</v>
      </c>
      <c r="F1301" s="14" t="e">
        <f t="shared" si="93"/>
        <v>#DIV/0!</v>
      </c>
    </row>
    <row r="1302" spans="1:6" ht="18" customHeight="1">
      <c r="A1302" s="229" t="s">
        <v>1277</v>
      </c>
      <c r="B1302" s="230"/>
      <c r="C1302" s="4">
        <v>26600</v>
      </c>
      <c r="D1302" s="4">
        <v>26600</v>
      </c>
      <c r="E1302" s="14">
        <v>0</v>
      </c>
      <c r="F1302" s="14">
        <f t="shared" si="93"/>
        <v>0</v>
      </c>
    </row>
    <row r="1303" spans="1:6" ht="18" customHeight="1">
      <c r="A1303" s="229" t="s">
        <v>1283</v>
      </c>
      <c r="B1303" s="230"/>
      <c r="C1303" s="4">
        <v>0</v>
      </c>
      <c r="D1303" s="4">
        <v>0</v>
      </c>
      <c r="E1303" s="14">
        <v>0</v>
      </c>
      <c r="F1303" s="14" t="e">
        <f t="shared" si="93"/>
        <v>#DIV/0!</v>
      </c>
    </row>
    <row r="1304" spans="1:6" ht="18" customHeight="1">
      <c r="A1304" s="229" t="s">
        <v>1234</v>
      </c>
      <c r="B1304" s="230"/>
      <c r="C1304" s="4">
        <v>0</v>
      </c>
      <c r="D1304" s="4">
        <v>0</v>
      </c>
      <c r="E1304" s="14">
        <v>0</v>
      </c>
      <c r="F1304" s="14" t="e">
        <f t="shared" si="93"/>
        <v>#DIV/0!</v>
      </c>
    </row>
    <row r="1305" spans="1:6" ht="18" customHeight="1">
      <c r="A1305" s="229" t="s">
        <v>1302</v>
      </c>
      <c r="B1305" s="230"/>
      <c r="C1305" s="4">
        <v>0</v>
      </c>
      <c r="D1305" s="4">
        <v>0</v>
      </c>
      <c r="E1305" s="14">
        <v>0</v>
      </c>
      <c r="F1305" s="14" t="e">
        <f>E1305/D1305*100</f>
        <v>#DIV/0!</v>
      </c>
    </row>
    <row r="1306" spans="1:6" ht="21" customHeight="1">
      <c r="A1306" s="39" t="s">
        <v>563</v>
      </c>
      <c r="B1306" s="70" t="s">
        <v>75</v>
      </c>
      <c r="C1306" s="4">
        <v>92000</v>
      </c>
      <c r="D1306" s="4">
        <v>92000</v>
      </c>
      <c r="E1306" s="14">
        <f>E1307</f>
        <v>0</v>
      </c>
      <c r="F1306" s="14">
        <f t="shared" si="93"/>
        <v>0</v>
      </c>
    </row>
    <row r="1307" spans="1:6" ht="18" customHeight="1">
      <c r="A1307" s="39" t="s">
        <v>564</v>
      </c>
      <c r="B1307" s="3" t="s">
        <v>565</v>
      </c>
      <c r="C1307" s="4">
        <v>0</v>
      </c>
      <c r="D1307" s="4">
        <v>0</v>
      </c>
      <c r="E1307" s="14">
        <f>E1308</f>
        <v>0</v>
      </c>
      <c r="F1307" s="14" t="e">
        <f t="shared" si="93"/>
        <v>#DIV/0!</v>
      </c>
    </row>
    <row r="1308" spans="1:6" ht="15" customHeight="1">
      <c r="A1308" s="39" t="s">
        <v>566</v>
      </c>
      <c r="B1308" s="74" t="s">
        <v>746</v>
      </c>
      <c r="C1308" s="4">
        <v>0</v>
      </c>
      <c r="D1308" s="4">
        <v>0</v>
      </c>
      <c r="E1308" s="14">
        <v>0</v>
      </c>
      <c r="F1308" s="14" t="e">
        <f t="shared" si="93"/>
        <v>#DIV/0!</v>
      </c>
    </row>
    <row r="1309" spans="1:6" ht="25.5" customHeight="1">
      <c r="A1309" s="241" t="s">
        <v>988</v>
      </c>
      <c r="B1309" s="242"/>
      <c r="C1309" s="5">
        <f>C1310</f>
        <v>0</v>
      </c>
      <c r="D1309" s="5">
        <f>D1310</f>
        <v>0</v>
      </c>
      <c r="E1309" s="132">
        <f>E1310</f>
        <v>0</v>
      </c>
      <c r="F1309" s="14" t="e">
        <f t="shared" si="93"/>
        <v>#DIV/0!</v>
      </c>
    </row>
    <row r="1310" spans="1:6" ht="18" customHeight="1">
      <c r="A1310" s="39" t="s">
        <v>134</v>
      </c>
      <c r="B1310" s="74" t="s">
        <v>0</v>
      </c>
      <c r="C1310" s="4">
        <f>SUM(C1311:C1312)</f>
        <v>0</v>
      </c>
      <c r="D1310" s="4">
        <f>SUM(D1311:D1312)</f>
        <v>0</v>
      </c>
      <c r="E1310" s="14">
        <f>SUM(E1311:E1312)</f>
        <v>0</v>
      </c>
      <c r="F1310" s="14" t="e">
        <f t="shared" si="93"/>
        <v>#DIV/0!</v>
      </c>
    </row>
    <row r="1311" spans="1:6" ht="15" customHeight="1">
      <c r="A1311" s="39" t="s">
        <v>35</v>
      </c>
      <c r="B1311" s="74" t="s">
        <v>986</v>
      </c>
      <c r="C1311" s="4">
        <v>0</v>
      </c>
      <c r="D1311" s="4">
        <v>0</v>
      </c>
      <c r="E1311" s="14">
        <v>0</v>
      </c>
      <c r="F1311" s="14" t="e">
        <f t="shared" si="93"/>
        <v>#DIV/0!</v>
      </c>
    </row>
    <row r="1312" spans="1:6" ht="15" customHeight="1">
      <c r="A1312" s="39" t="s">
        <v>337</v>
      </c>
      <c r="B1312" s="74" t="s">
        <v>987</v>
      </c>
      <c r="C1312" s="4">
        <v>0</v>
      </c>
      <c r="D1312" s="4">
        <v>0</v>
      </c>
      <c r="E1312" s="14">
        <v>0</v>
      </c>
      <c r="F1312" s="14" t="e">
        <f t="shared" si="93"/>
        <v>#DIV/0!</v>
      </c>
    </row>
    <row r="1313" spans="1:6" ht="38.25" customHeight="1">
      <c r="A1313" s="245" t="s">
        <v>1382</v>
      </c>
      <c r="B1313" s="238"/>
      <c r="C1313" s="5">
        <f>C1322+C1340</f>
        <v>83105</v>
      </c>
      <c r="D1313" s="5">
        <f>D1322+D1340</f>
        <v>83105</v>
      </c>
      <c r="E1313" s="132">
        <f>E1322+E1340</f>
        <v>46752.89</v>
      </c>
      <c r="F1313" s="14">
        <f aca="true" t="shared" si="99" ref="F1313:F1318">E1313/D1313*100</f>
        <v>56.257613861981824</v>
      </c>
    </row>
    <row r="1314" spans="1:6" ht="25.5" customHeight="1">
      <c r="A1314" s="233" t="s">
        <v>1381</v>
      </c>
      <c r="B1314" s="234"/>
      <c r="C1314" s="62">
        <f>SUM(C1315:C1321)</f>
        <v>83105</v>
      </c>
      <c r="D1314" s="62">
        <f>SUM(D1315:D1321)</f>
        <v>83105</v>
      </c>
      <c r="E1314" s="130">
        <f>SUM(E1315:E1321)</f>
        <v>46752.89</v>
      </c>
      <c r="F1314" s="14">
        <f t="shared" si="99"/>
        <v>56.257613861981824</v>
      </c>
    </row>
    <row r="1315" spans="1:6" ht="18" customHeight="1">
      <c r="A1315" s="229" t="s">
        <v>1025</v>
      </c>
      <c r="B1315" s="230"/>
      <c r="C1315" s="4">
        <v>0</v>
      </c>
      <c r="D1315" s="4">
        <v>0</v>
      </c>
      <c r="E1315" s="14">
        <v>0</v>
      </c>
      <c r="F1315" s="14" t="e">
        <f t="shared" si="99"/>
        <v>#DIV/0!</v>
      </c>
    </row>
    <row r="1316" spans="1:6" ht="18" customHeight="1">
      <c r="A1316" s="229" t="s">
        <v>1278</v>
      </c>
      <c r="B1316" s="230"/>
      <c r="C1316" s="4">
        <v>0</v>
      </c>
      <c r="D1316" s="4">
        <v>0</v>
      </c>
      <c r="E1316" s="14">
        <v>0</v>
      </c>
      <c r="F1316" s="14" t="e">
        <f t="shared" si="99"/>
        <v>#DIV/0!</v>
      </c>
    </row>
    <row r="1317" spans="1:6" ht="18" customHeight="1">
      <c r="A1317" s="229" t="s">
        <v>1276</v>
      </c>
      <c r="B1317" s="230"/>
      <c r="C1317" s="4">
        <v>0</v>
      </c>
      <c r="D1317" s="4">
        <v>0</v>
      </c>
      <c r="E1317" s="14">
        <v>0</v>
      </c>
      <c r="F1317" s="14" t="e">
        <f t="shared" si="99"/>
        <v>#DIV/0!</v>
      </c>
    </row>
    <row r="1318" spans="1:6" ht="18" customHeight="1">
      <c r="A1318" s="229" t="s">
        <v>1277</v>
      </c>
      <c r="B1318" s="230"/>
      <c r="C1318" s="4">
        <v>0</v>
      </c>
      <c r="D1318" s="4">
        <v>0</v>
      </c>
      <c r="E1318" s="14">
        <v>0</v>
      </c>
      <c r="F1318" s="14" t="e">
        <f t="shared" si="99"/>
        <v>#DIV/0!</v>
      </c>
    </row>
    <row r="1319" spans="1:6" ht="18" customHeight="1">
      <c r="A1319" s="229" t="s">
        <v>1279</v>
      </c>
      <c r="B1319" s="230"/>
      <c r="C1319" s="4">
        <v>83105</v>
      </c>
      <c r="D1319" s="4">
        <v>83105</v>
      </c>
      <c r="E1319" s="14">
        <v>46752.89</v>
      </c>
      <c r="F1319" s="14">
        <f aca="true" t="shared" si="100" ref="F1319:F1331">E1319/D1319*100</f>
        <v>56.257613861981824</v>
      </c>
    </row>
    <row r="1320" spans="1:6" ht="18" customHeight="1">
      <c r="A1320" s="229" t="s">
        <v>1280</v>
      </c>
      <c r="B1320" s="230"/>
      <c r="C1320" s="4">
        <v>0</v>
      </c>
      <c r="D1320" s="4">
        <v>0</v>
      </c>
      <c r="E1320" s="14">
        <v>0</v>
      </c>
      <c r="F1320" s="14" t="e">
        <f t="shared" si="100"/>
        <v>#DIV/0!</v>
      </c>
    </row>
    <row r="1321" spans="1:6" ht="18" customHeight="1">
      <c r="A1321" s="229" t="s">
        <v>1434</v>
      </c>
      <c r="B1321" s="230"/>
      <c r="C1321" s="4">
        <v>0</v>
      </c>
      <c r="D1321" s="4">
        <v>0</v>
      </c>
      <c r="E1321" s="14">
        <v>0</v>
      </c>
      <c r="F1321" s="14" t="e">
        <f t="shared" si="100"/>
        <v>#DIV/0!</v>
      </c>
    </row>
    <row r="1322" spans="1:6" ht="22.5" customHeight="1">
      <c r="A1322" s="39">
        <v>3</v>
      </c>
      <c r="B1322" s="74" t="s">
        <v>58</v>
      </c>
      <c r="C1322" s="4">
        <f>C1323+C1329</f>
        <v>77795</v>
      </c>
      <c r="D1322" s="4">
        <f>D1323+D1329</f>
        <v>77795</v>
      </c>
      <c r="E1322" s="14">
        <f>E1323+E1329</f>
        <v>44752.89</v>
      </c>
      <c r="F1322" s="14">
        <f t="shared" si="100"/>
        <v>57.52669194678322</v>
      </c>
    </row>
    <row r="1323" spans="1:6" ht="21" customHeight="1">
      <c r="A1323" s="39">
        <v>31</v>
      </c>
      <c r="B1323" s="74" t="s">
        <v>123</v>
      </c>
      <c r="C1323" s="4">
        <v>61865</v>
      </c>
      <c r="D1323" s="4">
        <v>61865</v>
      </c>
      <c r="E1323" s="14">
        <f>E1324+E1326</f>
        <v>33394.92</v>
      </c>
      <c r="F1323" s="14">
        <f t="shared" si="100"/>
        <v>53.98031196961125</v>
      </c>
    </row>
    <row r="1324" spans="1:6" ht="18" customHeight="1">
      <c r="A1324" s="39">
        <v>311</v>
      </c>
      <c r="B1324" s="74" t="s">
        <v>324</v>
      </c>
      <c r="C1324" s="4">
        <v>0</v>
      </c>
      <c r="D1324" s="4">
        <v>0</v>
      </c>
      <c r="E1324" s="14">
        <f>E1325</f>
        <v>28665.17</v>
      </c>
      <c r="F1324" s="14" t="e">
        <f t="shared" si="100"/>
        <v>#DIV/0!</v>
      </c>
    </row>
    <row r="1325" spans="1:6" ht="15" customHeight="1">
      <c r="A1325" s="39">
        <v>3111</v>
      </c>
      <c r="B1325" s="74" t="s">
        <v>124</v>
      </c>
      <c r="C1325" s="4">
        <v>0</v>
      </c>
      <c r="D1325" s="4">
        <v>0</v>
      </c>
      <c r="E1325" s="14">
        <v>28665.17</v>
      </c>
      <c r="F1325" s="14" t="e">
        <f t="shared" si="100"/>
        <v>#DIV/0!</v>
      </c>
    </row>
    <row r="1326" spans="1:6" ht="18" customHeight="1">
      <c r="A1326" s="39">
        <v>313</v>
      </c>
      <c r="B1326" s="74" t="s">
        <v>127</v>
      </c>
      <c r="C1326" s="4">
        <v>0</v>
      </c>
      <c r="D1326" s="4">
        <v>0</v>
      </c>
      <c r="E1326" s="14">
        <f>SUM(E1327:E1328)</f>
        <v>4729.75</v>
      </c>
      <c r="F1326" s="14" t="e">
        <f t="shared" si="100"/>
        <v>#DIV/0!</v>
      </c>
    </row>
    <row r="1327" spans="1:6" ht="15" customHeight="1">
      <c r="A1327" s="39">
        <v>3132</v>
      </c>
      <c r="B1327" s="70" t="s">
        <v>340</v>
      </c>
      <c r="C1327" s="4">
        <v>0</v>
      </c>
      <c r="D1327" s="4">
        <v>0</v>
      </c>
      <c r="E1327" s="14">
        <v>4729.75</v>
      </c>
      <c r="F1327" s="14" t="e">
        <f t="shared" si="100"/>
        <v>#DIV/0!</v>
      </c>
    </row>
    <row r="1328" spans="1:6" ht="15" customHeight="1">
      <c r="A1328" s="39">
        <v>3133</v>
      </c>
      <c r="B1328" s="70" t="s">
        <v>341</v>
      </c>
      <c r="C1328" s="4">
        <v>0</v>
      </c>
      <c r="D1328" s="4">
        <v>0</v>
      </c>
      <c r="E1328" s="14">
        <v>0</v>
      </c>
      <c r="F1328" s="14" t="e">
        <f t="shared" si="100"/>
        <v>#DIV/0!</v>
      </c>
    </row>
    <row r="1329" spans="1:6" ht="21" customHeight="1">
      <c r="A1329" s="39">
        <v>32</v>
      </c>
      <c r="B1329" s="74" t="s">
        <v>271</v>
      </c>
      <c r="C1329" s="4">
        <v>15930</v>
      </c>
      <c r="D1329" s="4">
        <v>15930</v>
      </c>
      <c r="E1329" s="14">
        <f>E1330+E1333+E1335+E1338</f>
        <v>11357.97</v>
      </c>
      <c r="F1329" s="14">
        <f t="shared" si="100"/>
        <v>71.29924670433144</v>
      </c>
    </row>
    <row r="1330" spans="1:6" ht="18" customHeight="1">
      <c r="A1330" s="81">
        <v>321</v>
      </c>
      <c r="B1330" s="74" t="s">
        <v>143</v>
      </c>
      <c r="C1330" s="4">
        <v>0</v>
      </c>
      <c r="D1330" s="4">
        <v>0</v>
      </c>
      <c r="E1330" s="14">
        <f>SUM(E1331:E1332)</f>
        <v>1000</v>
      </c>
      <c r="F1330" s="14" t="e">
        <f t="shared" si="100"/>
        <v>#DIV/0!</v>
      </c>
    </row>
    <row r="1331" spans="1:6" ht="15" customHeight="1">
      <c r="A1331" s="81">
        <v>3211</v>
      </c>
      <c r="B1331" s="74" t="s">
        <v>705</v>
      </c>
      <c r="C1331" s="4">
        <v>0</v>
      </c>
      <c r="D1331" s="4">
        <v>0</v>
      </c>
      <c r="E1331" s="14">
        <v>500</v>
      </c>
      <c r="F1331" s="14" t="e">
        <f t="shared" si="100"/>
        <v>#DIV/0!</v>
      </c>
    </row>
    <row r="1332" spans="1:6" ht="15" customHeight="1">
      <c r="A1332" s="81">
        <v>3213</v>
      </c>
      <c r="B1332" s="74" t="s">
        <v>706</v>
      </c>
      <c r="C1332" s="4">
        <v>0</v>
      </c>
      <c r="D1332" s="4">
        <v>0</v>
      </c>
      <c r="E1332" s="14">
        <v>500</v>
      </c>
      <c r="F1332" s="14" t="e">
        <f aca="true" t="shared" si="101" ref="F1332:F1343">E1332/D1332*100</f>
        <v>#DIV/0!</v>
      </c>
    </row>
    <row r="1333" spans="1:6" ht="18" customHeight="1">
      <c r="A1333" s="66">
        <v>322</v>
      </c>
      <c r="B1333" s="3" t="s">
        <v>19</v>
      </c>
      <c r="C1333" s="4">
        <v>0</v>
      </c>
      <c r="D1333" s="4">
        <v>0</v>
      </c>
      <c r="E1333" s="14">
        <f>SUM(E1334:E1334)</f>
        <v>10057.97</v>
      </c>
      <c r="F1333" s="14" t="e">
        <f t="shared" si="101"/>
        <v>#DIV/0!</v>
      </c>
    </row>
    <row r="1334" spans="1:6" ht="15" customHeight="1">
      <c r="A1334" s="66">
        <v>3221</v>
      </c>
      <c r="B1334" s="3" t="s">
        <v>275</v>
      </c>
      <c r="C1334" s="4">
        <v>0</v>
      </c>
      <c r="D1334" s="4">
        <v>0</v>
      </c>
      <c r="E1334" s="14">
        <v>10057.97</v>
      </c>
      <c r="F1334" s="14" t="e">
        <f t="shared" si="101"/>
        <v>#DIV/0!</v>
      </c>
    </row>
    <row r="1335" spans="1:6" ht="18" customHeight="1">
      <c r="A1335" s="39" t="s">
        <v>134</v>
      </c>
      <c r="B1335" s="74" t="s">
        <v>0</v>
      </c>
      <c r="C1335" s="4">
        <v>0</v>
      </c>
      <c r="D1335" s="4">
        <v>0</v>
      </c>
      <c r="E1335" s="14">
        <f>SUM(E1336:E1337)</f>
        <v>300</v>
      </c>
      <c r="F1335" s="14" t="e">
        <f t="shared" si="101"/>
        <v>#DIV/0!</v>
      </c>
    </row>
    <row r="1336" spans="1:6" ht="15" customHeight="1">
      <c r="A1336" s="39" t="s">
        <v>692</v>
      </c>
      <c r="B1336" s="74" t="s">
        <v>1</v>
      </c>
      <c r="C1336" s="4">
        <v>0</v>
      </c>
      <c r="D1336" s="4">
        <v>0</v>
      </c>
      <c r="E1336" s="14">
        <v>300</v>
      </c>
      <c r="F1336" s="14" t="e">
        <f t="shared" si="101"/>
        <v>#DIV/0!</v>
      </c>
    </row>
    <row r="1337" spans="1:6" ht="15" customHeight="1">
      <c r="A1337" s="39" t="s">
        <v>35</v>
      </c>
      <c r="B1337" s="74" t="s">
        <v>36</v>
      </c>
      <c r="C1337" s="4">
        <v>0</v>
      </c>
      <c r="D1337" s="4">
        <v>0</v>
      </c>
      <c r="E1337" s="14">
        <v>0</v>
      </c>
      <c r="F1337" s="14" t="e">
        <f t="shared" si="101"/>
        <v>#DIV/0!</v>
      </c>
    </row>
    <row r="1338" spans="1:6" ht="18" customHeight="1">
      <c r="A1338" s="39" t="s">
        <v>300</v>
      </c>
      <c r="B1338" s="74" t="s">
        <v>714</v>
      </c>
      <c r="C1338" s="4">
        <f>C1339</f>
        <v>0</v>
      </c>
      <c r="D1338" s="4">
        <f>D1339</f>
        <v>0</v>
      </c>
      <c r="E1338" s="14">
        <f>E1339</f>
        <v>0</v>
      </c>
      <c r="F1338" s="14" t="e">
        <f t="shared" si="101"/>
        <v>#DIV/0!</v>
      </c>
    </row>
    <row r="1339" spans="1:6" ht="15" customHeight="1">
      <c r="A1339" s="39" t="s">
        <v>302</v>
      </c>
      <c r="B1339" s="74" t="s">
        <v>715</v>
      </c>
      <c r="C1339" s="4">
        <v>0</v>
      </c>
      <c r="D1339" s="4">
        <v>0</v>
      </c>
      <c r="E1339" s="14">
        <v>0</v>
      </c>
      <c r="F1339" s="14" t="e">
        <f t="shared" si="101"/>
        <v>#DIV/0!</v>
      </c>
    </row>
    <row r="1340" spans="1:6" ht="22.5" customHeight="1">
      <c r="A1340" s="66">
        <v>4</v>
      </c>
      <c r="B1340" s="3" t="s">
        <v>26</v>
      </c>
      <c r="C1340" s="4">
        <f>SUM(C1341)</f>
        <v>5310</v>
      </c>
      <c r="D1340" s="4">
        <f>SUM(D1341)</f>
        <v>5310</v>
      </c>
      <c r="E1340" s="14">
        <f>SUM(E1341)</f>
        <v>2000</v>
      </c>
      <c r="F1340" s="14">
        <f t="shared" si="101"/>
        <v>37.664783427495294</v>
      </c>
    </row>
    <row r="1341" spans="1:6" ht="21" customHeight="1">
      <c r="A1341" s="66">
        <v>42</v>
      </c>
      <c r="B1341" s="3" t="s">
        <v>9</v>
      </c>
      <c r="C1341" s="4">
        <v>5310</v>
      </c>
      <c r="D1341" s="4">
        <v>5310</v>
      </c>
      <c r="E1341" s="14">
        <f>E1342</f>
        <v>2000</v>
      </c>
      <c r="F1341" s="14">
        <f t="shared" si="101"/>
        <v>37.664783427495294</v>
      </c>
    </row>
    <row r="1342" spans="1:6" ht="18" customHeight="1">
      <c r="A1342" s="66">
        <v>422</v>
      </c>
      <c r="B1342" s="3" t="s">
        <v>10</v>
      </c>
      <c r="C1342" s="4">
        <v>0</v>
      </c>
      <c r="D1342" s="4">
        <v>0</v>
      </c>
      <c r="E1342" s="14">
        <f>SUM(E1343:E1343)</f>
        <v>2000</v>
      </c>
      <c r="F1342" s="14" t="e">
        <f t="shared" si="101"/>
        <v>#DIV/0!</v>
      </c>
    </row>
    <row r="1343" spans="1:6" ht="15" customHeight="1">
      <c r="A1343" s="66">
        <v>4227</v>
      </c>
      <c r="B1343" s="3" t="s">
        <v>743</v>
      </c>
      <c r="C1343" s="4">
        <v>0</v>
      </c>
      <c r="D1343" s="4">
        <v>0</v>
      </c>
      <c r="E1343" s="14">
        <v>2000</v>
      </c>
      <c r="F1343" s="14" t="e">
        <f t="shared" si="101"/>
        <v>#DIV/0!</v>
      </c>
    </row>
    <row r="1344" spans="1:6" ht="36" customHeight="1">
      <c r="A1344" s="231" t="s">
        <v>602</v>
      </c>
      <c r="B1344" s="232"/>
      <c r="C1344" s="100">
        <f>C1349</f>
        <v>126381</v>
      </c>
      <c r="D1344" s="100">
        <f>D1349</f>
        <v>126381</v>
      </c>
      <c r="E1344" s="134">
        <f>E1349</f>
        <v>48331.51</v>
      </c>
      <c r="F1344" s="59">
        <f t="shared" si="93"/>
        <v>38.242702621438355</v>
      </c>
    </row>
    <row r="1345" spans="1:6" ht="18" customHeight="1">
      <c r="A1345" s="229" t="s">
        <v>886</v>
      </c>
      <c r="B1345" s="230"/>
      <c r="C1345" s="4">
        <v>650170</v>
      </c>
      <c r="D1345" s="4">
        <v>650170</v>
      </c>
      <c r="E1345" s="14">
        <v>46114.8</v>
      </c>
      <c r="F1345" s="14">
        <f t="shared" si="93"/>
        <v>7.092729593798546</v>
      </c>
    </row>
    <row r="1346" spans="1:8" ht="18" customHeight="1">
      <c r="A1346" s="229" t="s">
        <v>1286</v>
      </c>
      <c r="B1346" s="230"/>
      <c r="C1346" s="4">
        <v>26250</v>
      </c>
      <c r="D1346" s="4">
        <v>26250</v>
      </c>
      <c r="E1346" s="14">
        <v>1856.52</v>
      </c>
      <c r="F1346" s="14">
        <f t="shared" si="93"/>
        <v>7.072457142857143</v>
      </c>
      <c r="H1346" s="145"/>
    </row>
    <row r="1347" spans="1:6" ht="18" customHeight="1">
      <c r="A1347" s="229" t="s">
        <v>1287</v>
      </c>
      <c r="B1347" s="230"/>
      <c r="C1347" s="4">
        <v>60000</v>
      </c>
      <c r="D1347" s="4">
        <v>60000</v>
      </c>
      <c r="E1347" s="14">
        <v>360.19</v>
      </c>
      <c r="F1347" s="14">
        <f t="shared" si="93"/>
        <v>0.6003166666666666</v>
      </c>
    </row>
    <row r="1348" spans="1:10" ht="18" customHeight="1">
      <c r="A1348" s="229" t="s">
        <v>1288</v>
      </c>
      <c r="B1348" s="230"/>
      <c r="C1348" s="4">
        <v>458350</v>
      </c>
      <c r="D1348" s="4">
        <v>458350</v>
      </c>
      <c r="E1348" s="14">
        <v>0</v>
      </c>
      <c r="F1348" s="14">
        <f t="shared" si="93"/>
        <v>0</v>
      </c>
      <c r="H1348" s="137"/>
      <c r="I1348" s="137"/>
      <c r="J1348" s="145"/>
    </row>
    <row r="1349" spans="1:6" ht="30" customHeight="1">
      <c r="A1349" s="235" t="s">
        <v>568</v>
      </c>
      <c r="B1349" s="236"/>
      <c r="C1349" s="61">
        <f>C1350+C1395+C1415</f>
        <v>126381</v>
      </c>
      <c r="D1349" s="61">
        <f>D1350+D1395+D1415</f>
        <v>126381</v>
      </c>
      <c r="E1349" s="129">
        <f>E1350+E1395+E1415</f>
        <v>48331.51</v>
      </c>
      <c r="F1349" s="14">
        <f t="shared" si="93"/>
        <v>38.242702621438355</v>
      </c>
    </row>
    <row r="1350" spans="1:6" ht="25.5" customHeight="1">
      <c r="A1350" s="237" t="s">
        <v>642</v>
      </c>
      <c r="B1350" s="238"/>
      <c r="C1350" s="5">
        <f>C1356+C1364+C1388+C1392</f>
        <v>105144</v>
      </c>
      <c r="D1350" s="5">
        <f>D1356+D1364+D1388+D1392</f>
        <v>105144</v>
      </c>
      <c r="E1350" s="132">
        <f>E1356+E1364+E1388+E1392</f>
        <v>43523.79</v>
      </c>
      <c r="F1350" s="14">
        <f t="shared" si="93"/>
        <v>41.39445902761927</v>
      </c>
    </row>
    <row r="1351" spans="1:6" ht="25.5" customHeight="1">
      <c r="A1351" s="233" t="s">
        <v>1121</v>
      </c>
      <c r="B1351" s="234"/>
      <c r="C1351" s="62">
        <f>SUM(C1352:C1355)</f>
        <v>105144</v>
      </c>
      <c r="D1351" s="62">
        <f>SUM(D1352:D1355)</f>
        <v>105144</v>
      </c>
      <c r="E1351" s="130">
        <f>SUM(E1352:E1355)</f>
        <v>43523.78999999999</v>
      </c>
      <c r="F1351" s="14">
        <f>E1351/D1351*100</f>
        <v>41.394459027619256</v>
      </c>
    </row>
    <row r="1352" spans="1:6" ht="18" customHeight="1">
      <c r="A1352" s="229" t="s">
        <v>1025</v>
      </c>
      <c r="B1352" s="230"/>
      <c r="C1352" s="4">
        <v>99919</v>
      </c>
      <c r="D1352" s="4">
        <v>99919</v>
      </c>
      <c r="E1352" s="14">
        <v>42767.77</v>
      </c>
      <c r="F1352" s="14">
        <f>E1352/D1352*100</f>
        <v>42.80243997638086</v>
      </c>
    </row>
    <row r="1353" spans="1:6" ht="18" customHeight="1">
      <c r="A1353" s="229" t="s">
        <v>1289</v>
      </c>
      <c r="B1353" s="230"/>
      <c r="C1353" s="4">
        <v>3153</v>
      </c>
      <c r="D1353" s="4">
        <v>3153</v>
      </c>
      <c r="E1353" s="14">
        <v>756.02</v>
      </c>
      <c r="F1353" s="14">
        <f>E1353/D1353*100</f>
        <v>23.977798921661908</v>
      </c>
    </row>
    <row r="1354" spans="1:6" ht="18" customHeight="1">
      <c r="A1354" s="229" t="s">
        <v>1290</v>
      </c>
      <c r="B1354" s="230"/>
      <c r="C1354" s="4">
        <v>0</v>
      </c>
      <c r="D1354" s="4">
        <v>0</v>
      </c>
      <c r="E1354" s="14">
        <v>0</v>
      </c>
      <c r="F1354" s="14" t="e">
        <f>E1354/D1354*100</f>
        <v>#DIV/0!</v>
      </c>
    </row>
    <row r="1355" spans="1:10" ht="18" customHeight="1">
      <c r="A1355" s="229" t="s">
        <v>1435</v>
      </c>
      <c r="B1355" s="230"/>
      <c r="C1355" s="4">
        <v>2072</v>
      </c>
      <c r="D1355" s="4">
        <v>2072</v>
      </c>
      <c r="E1355" s="14">
        <v>0</v>
      </c>
      <c r="F1355" s="14">
        <f>E1355/D1355*100</f>
        <v>0</v>
      </c>
      <c r="H1355" s="137"/>
      <c r="I1355" s="137"/>
      <c r="J1355" s="145"/>
    </row>
    <row r="1356" spans="1:6" ht="21" customHeight="1">
      <c r="A1356" s="66">
        <v>31</v>
      </c>
      <c r="B1356" s="3" t="s">
        <v>123</v>
      </c>
      <c r="C1356" s="4">
        <v>72939</v>
      </c>
      <c r="D1356" s="4">
        <v>72939</v>
      </c>
      <c r="E1356" s="14">
        <f>E1357+E1359+E1361</f>
        <v>34320.21</v>
      </c>
      <c r="F1356" s="14">
        <f t="shared" si="93"/>
        <v>47.05330481635339</v>
      </c>
    </row>
    <row r="1357" spans="1:6" ht="18" customHeight="1">
      <c r="A1357" s="66">
        <v>311</v>
      </c>
      <c r="B1357" s="3" t="s">
        <v>324</v>
      </c>
      <c r="C1357" s="4">
        <v>0</v>
      </c>
      <c r="D1357" s="4">
        <v>0</v>
      </c>
      <c r="E1357" s="14">
        <f>SUM(E1358)</f>
        <v>28690.97</v>
      </c>
      <c r="F1357" s="14" t="e">
        <f t="shared" si="93"/>
        <v>#DIV/0!</v>
      </c>
    </row>
    <row r="1358" spans="1:6" ht="15" customHeight="1">
      <c r="A1358" s="66">
        <v>3111</v>
      </c>
      <c r="B1358" s="3" t="s">
        <v>124</v>
      </c>
      <c r="C1358" s="4">
        <v>0</v>
      </c>
      <c r="D1358" s="4">
        <v>0</v>
      </c>
      <c r="E1358" s="14">
        <v>28690.97</v>
      </c>
      <c r="F1358" s="14" t="e">
        <f t="shared" si="93"/>
        <v>#DIV/0!</v>
      </c>
    </row>
    <row r="1359" spans="1:6" ht="18" customHeight="1">
      <c r="A1359" s="66">
        <v>312</v>
      </c>
      <c r="B1359" s="3" t="s">
        <v>125</v>
      </c>
      <c r="C1359" s="4">
        <v>0</v>
      </c>
      <c r="D1359" s="4">
        <v>0</v>
      </c>
      <c r="E1359" s="14">
        <f>SUM(E1360)</f>
        <v>895.2</v>
      </c>
      <c r="F1359" s="14" t="e">
        <f t="shared" si="93"/>
        <v>#DIV/0!</v>
      </c>
    </row>
    <row r="1360" spans="1:6" ht="15" customHeight="1">
      <c r="A1360" s="66">
        <v>3121</v>
      </c>
      <c r="B1360" s="3" t="s">
        <v>126</v>
      </c>
      <c r="C1360" s="4">
        <v>0</v>
      </c>
      <c r="D1360" s="4">
        <v>0</v>
      </c>
      <c r="E1360" s="14">
        <v>895.2</v>
      </c>
      <c r="F1360" s="14" t="e">
        <f t="shared" si="93"/>
        <v>#DIV/0!</v>
      </c>
    </row>
    <row r="1361" spans="1:6" ht="18" customHeight="1">
      <c r="A1361" s="66">
        <v>313</v>
      </c>
      <c r="B1361" s="3" t="s">
        <v>127</v>
      </c>
      <c r="C1361" s="4">
        <v>0</v>
      </c>
      <c r="D1361" s="4">
        <v>0</v>
      </c>
      <c r="E1361" s="14">
        <f>SUM(E1362:E1363)</f>
        <v>4734.04</v>
      </c>
      <c r="F1361" s="14" t="e">
        <f>E1361/D1361*100</f>
        <v>#DIV/0!</v>
      </c>
    </row>
    <row r="1362" spans="1:6" ht="15" customHeight="1">
      <c r="A1362" s="66">
        <v>3132</v>
      </c>
      <c r="B1362" s="70" t="s">
        <v>340</v>
      </c>
      <c r="C1362" s="4">
        <v>0</v>
      </c>
      <c r="D1362" s="4">
        <v>0</v>
      </c>
      <c r="E1362" s="14">
        <v>4734.04</v>
      </c>
      <c r="F1362" s="14" t="e">
        <f t="shared" si="93"/>
        <v>#DIV/0!</v>
      </c>
    </row>
    <row r="1363" spans="1:6" ht="15" customHeight="1">
      <c r="A1363" s="66">
        <v>3133</v>
      </c>
      <c r="B1363" s="70" t="s">
        <v>341</v>
      </c>
      <c r="C1363" s="4">
        <v>0</v>
      </c>
      <c r="D1363" s="4">
        <v>0</v>
      </c>
      <c r="E1363" s="14">
        <v>0</v>
      </c>
      <c r="F1363" s="14" t="e">
        <f t="shared" si="93"/>
        <v>#DIV/0!</v>
      </c>
    </row>
    <row r="1364" spans="1:6" ht="21" customHeight="1">
      <c r="A1364" s="66">
        <v>32</v>
      </c>
      <c r="B1364" s="3" t="s">
        <v>271</v>
      </c>
      <c r="C1364" s="4">
        <v>31634</v>
      </c>
      <c r="D1364" s="4">
        <v>31634</v>
      </c>
      <c r="E1364" s="14">
        <f>E1365+E1369+E1373+E1382</f>
        <v>9017.029999999999</v>
      </c>
      <c r="F1364" s="14">
        <f>E1364/D1364*100</f>
        <v>28.504235948662824</v>
      </c>
    </row>
    <row r="1365" spans="1:6" ht="18" customHeight="1">
      <c r="A1365" s="81">
        <v>321</v>
      </c>
      <c r="B1365" s="74" t="s">
        <v>143</v>
      </c>
      <c r="C1365" s="4">
        <v>0</v>
      </c>
      <c r="D1365" s="4">
        <v>0</v>
      </c>
      <c r="E1365" s="14">
        <f>SUM(E1366:E1368)</f>
        <v>772.46</v>
      </c>
      <c r="F1365" s="14" t="e">
        <f t="shared" si="93"/>
        <v>#DIV/0!</v>
      </c>
    </row>
    <row r="1366" spans="1:6" ht="15" customHeight="1">
      <c r="A1366" s="81">
        <v>3211</v>
      </c>
      <c r="B1366" s="74" t="s">
        <v>705</v>
      </c>
      <c r="C1366" s="4">
        <v>0</v>
      </c>
      <c r="D1366" s="4">
        <v>0</v>
      </c>
      <c r="E1366" s="14">
        <v>0</v>
      </c>
      <c r="F1366" s="14" t="e">
        <f>E1366/D1366*100</f>
        <v>#DIV/0!</v>
      </c>
    </row>
    <row r="1367" spans="1:6" ht="15" customHeight="1">
      <c r="A1367" s="81">
        <v>3212</v>
      </c>
      <c r="B1367" s="74" t="s">
        <v>145</v>
      </c>
      <c r="C1367" s="4">
        <v>0</v>
      </c>
      <c r="D1367" s="4">
        <v>0</v>
      </c>
      <c r="E1367" s="14">
        <v>692.82</v>
      </c>
      <c r="F1367" s="14" t="e">
        <f t="shared" si="93"/>
        <v>#DIV/0!</v>
      </c>
    </row>
    <row r="1368" spans="1:6" ht="15" customHeight="1">
      <c r="A1368" s="81">
        <v>3213</v>
      </c>
      <c r="B1368" s="74" t="s">
        <v>706</v>
      </c>
      <c r="C1368" s="4">
        <v>0</v>
      </c>
      <c r="D1368" s="4">
        <v>0</v>
      </c>
      <c r="E1368" s="14">
        <v>79.64</v>
      </c>
      <c r="F1368" s="14" t="e">
        <f>E1368/D1368*100</f>
        <v>#DIV/0!</v>
      </c>
    </row>
    <row r="1369" spans="1:6" ht="17.25" customHeight="1">
      <c r="A1369" s="66">
        <v>322</v>
      </c>
      <c r="B1369" s="3" t="s">
        <v>19</v>
      </c>
      <c r="C1369" s="4">
        <v>0</v>
      </c>
      <c r="D1369" s="4">
        <v>0</v>
      </c>
      <c r="E1369" s="14">
        <f>SUM(E1370:E1372)</f>
        <v>1588.56</v>
      </c>
      <c r="F1369" s="14" t="e">
        <f t="shared" si="93"/>
        <v>#DIV/0!</v>
      </c>
    </row>
    <row r="1370" spans="1:6" ht="15" customHeight="1">
      <c r="A1370" s="66">
        <v>3221</v>
      </c>
      <c r="B1370" s="3" t="s">
        <v>20</v>
      </c>
      <c r="C1370" s="4">
        <v>0</v>
      </c>
      <c r="D1370" s="4">
        <v>0</v>
      </c>
      <c r="E1370" s="14">
        <v>1516.25</v>
      </c>
      <c r="F1370" s="14" t="e">
        <f t="shared" si="93"/>
        <v>#DIV/0!</v>
      </c>
    </row>
    <row r="1371" spans="1:6" ht="15" customHeight="1">
      <c r="A1371" s="66">
        <v>3224</v>
      </c>
      <c r="B1371" s="3" t="s">
        <v>21</v>
      </c>
      <c r="C1371" s="4">
        <v>0</v>
      </c>
      <c r="D1371" s="4">
        <v>0</v>
      </c>
      <c r="E1371" s="14">
        <v>72.31</v>
      </c>
      <c r="F1371" s="14" t="e">
        <f t="shared" si="93"/>
        <v>#DIV/0!</v>
      </c>
    </row>
    <row r="1372" spans="1:6" ht="15" customHeight="1">
      <c r="A1372" s="66">
        <v>3225</v>
      </c>
      <c r="B1372" s="3" t="s">
        <v>22</v>
      </c>
      <c r="C1372" s="4">
        <v>0</v>
      </c>
      <c r="D1372" s="4">
        <v>0</v>
      </c>
      <c r="E1372" s="14">
        <v>0</v>
      </c>
      <c r="F1372" s="14" t="e">
        <f t="shared" si="93"/>
        <v>#DIV/0!</v>
      </c>
    </row>
    <row r="1373" spans="1:6" ht="18" customHeight="1">
      <c r="A1373" s="66">
        <v>323</v>
      </c>
      <c r="B1373" s="3" t="s">
        <v>0</v>
      </c>
      <c r="C1373" s="4">
        <v>0</v>
      </c>
      <c r="D1373" s="4">
        <v>0</v>
      </c>
      <c r="E1373" s="14">
        <f>SUM(E1374:E1381)</f>
        <v>5748.61</v>
      </c>
      <c r="F1373" s="14" t="e">
        <f t="shared" si="93"/>
        <v>#DIV/0!</v>
      </c>
    </row>
    <row r="1374" spans="1:6" ht="15" customHeight="1">
      <c r="A1374" s="66">
        <v>3231</v>
      </c>
      <c r="B1374" s="3" t="s">
        <v>23</v>
      </c>
      <c r="C1374" s="4">
        <v>0</v>
      </c>
      <c r="D1374" s="4">
        <v>0</v>
      </c>
      <c r="E1374" s="14">
        <v>610.76</v>
      </c>
      <c r="F1374" s="14" t="e">
        <f t="shared" si="93"/>
        <v>#DIV/0!</v>
      </c>
    </row>
    <row r="1375" spans="1:6" ht="15" customHeight="1">
      <c r="A1375" s="66">
        <v>3232</v>
      </c>
      <c r="B1375" s="3" t="s">
        <v>73</v>
      </c>
      <c r="C1375" s="4">
        <v>0</v>
      </c>
      <c r="D1375" s="4">
        <v>0</v>
      </c>
      <c r="E1375" s="14">
        <v>89.93</v>
      </c>
      <c r="F1375" s="14" t="e">
        <f t="shared" si="93"/>
        <v>#DIV/0!</v>
      </c>
    </row>
    <row r="1376" spans="1:6" ht="15" customHeight="1">
      <c r="A1376" s="66">
        <v>3233</v>
      </c>
      <c r="B1376" s="3" t="s">
        <v>100</v>
      </c>
      <c r="C1376" s="4">
        <v>0</v>
      </c>
      <c r="D1376" s="4">
        <v>0</v>
      </c>
      <c r="E1376" s="14">
        <v>0</v>
      </c>
      <c r="F1376" s="14" t="e">
        <f t="shared" si="93"/>
        <v>#DIV/0!</v>
      </c>
    </row>
    <row r="1377" spans="1:6" ht="15" customHeight="1">
      <c r="A1377" s="39" t="s">
        <v>558</v>
      </c>
      <c r="B1377" s="74" t="s">
        <v>92</v>
      </c>
      <c r="C1377" s="4">
        <v>0</v>
      </c>
      <c r="D1377" s="4">
        <v>0</v>
      </c>
      <c r="E1377" s="14">
        <v>85.11</v>
      </c>
      <c r="F1377" s="14" t="e">
        <f t="shared" si="93"/>
        <v>#DIV/0!</v>
      </c>
    </row>
    <row r="1378" spans="1:6" ht="15" customHeight="1">
      <c r="A1378" s="66">
        <v>3235</v>
      </c>
      <c r="B1378" s="3" t="s">
        <v>598</v>
      </c>
      <c r="C1378" s="4">
        <v>0</v>
      </c>
      <c r="D1378" s="4">
        <v>0</v>
      </c>
      <c r="E1378" s="14">
        <v>7.96</v>
      </c>
      <c r="F1378" s="14" t="e">
        <f>E1378/D1378*100</f>
        <v>#DIV/0!</v>
      </c>
    </row>
    <row r="1379" spans="1:6" ht="15" customHeight="1">
      <c r="A1379" s="66">
        <v>3237</v>
      </c>
      <c r="B1379" s="3" t="s">
        <v>24</v>
      </c>
      <c r="C1379" s="4">
        <v>0</v>
      </c>
      <c r="D1379" s="4">
        <v>0</v>
      </c>
      <c r="E1379" s="14">
        <v>3317.65</v>
      </c>
      <c r="F1379" s="14" t="e">
        <f t="shared" si="93"/>
        <v>#DIV/0!</v>
      </c>
    </row>
    <row r="1380" spans="1:6" ht="15" customHeight="1">
      <c r="A1380" s="66">
        <v>3238</v>
      </c>
      <c r="B1380" s="3" t="s">
        <v>570</v>
      </c>
      <c r="C1380" s="4">
        <v>0</v>
      </c>
      <c r="D1380" s="4">
        <v>0</v>
      </c>
      <c r="E1380" s="14">
        <v>391.42</v>
      </c>
      <c r="F1380" s="14" t="e">
        <f t="shared" si="93"/>
        <v>#DIV/0!</v>
      </c>
    </row>
    <row r="1381" spans="1:6" ht="15" customHeight="1">
      <c r="A1381" s="66">
        <v>3239</v>
      </c>
      <c r="B1381" s="3" t="s">
        <v>154</v>
      </c>
      <c r="C1381" s="4">
        <v>0</v>
      </c>
      <c r="D1381" s="4">
        <v>0</v>
      </c>
      <c r="E1381" s="14">
        <v>1245.78</v>
      </c>
      <c r="F1381" s="14" t="e">
        <f t="shared" si="93"/>
        <v>#DIV/0!</v>
      </c>
    </row>
    <row r="1382" spans="1:6" ht="18" customHeight="1">
      <c r="A1382" s="66">
        <v>329</v>
      </c>
      <c r="B1382" s="3" t="s">
        <v>25</v>
      </c>
      <c r="C1382" s="4">
        <v>0</v>
      </c>
      <c r="D1382" s="4">
        <v>0</v>
      </c>
      <c r="E1382" s="14">
        <f>SUM(E1383:E1387)</f>
        <v>907.4</v>
      </c>
      <c r="F1382" s="14" t="e">
        <f t="shared" si="93"/>
        <v>#DIV/0!</v>
      </c>
    </row>
    <row r="1383" spans="1:6" ht="15" customHeight="1">
      <c r="A1383" s="66">
        <v>3292</v>
      </c>
      <c r="B1383" s="3" t="s">
        <v>4</v>
      </c>
      <c r="C1383" s="4">
        <v>0</v>
      </c>
      <c r="D1383" s="4">
        <v>0</v>
      </c>
      <c r="E1383" s="14">
        <v>804.88</v>
      </c>
      <c r="F1383" s="14" t="e">
        <f t="shared" si="93"/>
        <v>#DIV/0!</v>
      </c>
    </row>
    <row r="1384" spans="1:6" ht="15" customHeight="1">
      <c r="A1384" s="66">
        <v>3293</v>
      </c>
      <c r="B1384" s="3" t="s">
        <v>718</v>
      </c>
      <c r="C1384" s="4">
        <v>0</v>
      </c>
      <c r="D1384" s="4">
        <v>0</v>
      </c>
      <c r="E1384" s="14">
        <v>78.59</v>
      </c>
      <c r="F1384" s="14" t="e">
        <f>E1384/D1384*100</f>
        <v>#DIV/0!</v>
      </c>
    </row>
    <row r="1385" spans="1:6" ht="15" customHeight="1">
      <c r="A1385" s="66">
        <v>3294</v>
      </c>
      <c r="B1385" s="3" t="s">
        <v>725</v>
      </c>
      <c r="C1385" s="4">
        <v>0</v>
      </c>
      <c r="D1385" s="4">
        <v>0</v>
      </c>
      <c r="E1385" s="14">
        <v>0</v>
      </c>
      <c r="F1385" s="14" t="e">
        <f>E1385/D1385*100</f>
        <v>#DIV/0!</v>
      </c>
    </row>
    <row r="1386" spans="1:6" ht="15" customHeight="1">
      <c r="A1386" s="66">
        <v>3295</v>
      </c>
      <c r="B1386" s="3" t="s">
        <v>335</v>
      </c>
      <c r="C1386" s="4">
        <v>0</v>
      </c>
      <c r="D1386" s="4">
        <v>0</v>
      </c>
      <c r="E1386" s="14">
        <v>0</v>
      </c>
      <c r="F1386" s="14" t="e">
        <f>E1386/D1386*100</f>
        <v>#DIV/0!</v>
      </c>
    </row>
    <row r="1387" spans="1:6" ht="15" customHeight="1">
      <c r="A1387" s="66">
        <v>3299</v>
      </c>
      <c r="B1387" s="3" t="s">
        <v>726</v>
      </c>
      <c r="C1387" s="4">
        <v>0</v>
      </c>
      <c r="D1387" s="4">
        <v>0</v>
      </c>
      <c r="E1387" s="14">
        <v>23.93</v>
      </c>
      <c r="F1387" s="14" t="e">
        <f aca="true" t="shared" si="102" ref="F1387:F1394">E1387/D1387*100</f>
        <v>#DIV/0!</v>
      </c>
    </row>
    <row r="1388" spans="1:6" ht="21" customHeight="1">
      <c r="A1388" s="39" t="s">
        <v>720</v>
      </c>
      <c r="B1388" s="74" t="s">
        <v>59</v>
      </c>
      <c r="C1388" s="4">
        <v>571</v>
      </c>
      <c r="D1388" s="4">
        <v>571</v>
      </c>
      <c r="E1388" s="14">
        <f>E1389</f>
        <v>186.55</v>
      </c>
      <c r="F1388" s="14">
        <f t="shared" si="102"/>
        <v>32.6707530647986</v>
      </c>
    </row>
    <row r="1389" spans="1:6" ht="18" customHeight="1">
      <c r="A1389" s="81">
        <v>343</v>
      </c>
      <c r="B1389" s="74" t="s">
        <v>60</v>
      </c>
      <c r="C1389" s="4">
        <v>0</v>
      </c>
      <c r="D1389" s="4">
        <v>0</v>
      </c>
      <c r="E1389" s="14">
        <f>SUM(E1390:E1391)</f>
        <v>186.55</v>
      </c>
      <c r="F1389" s="14" t="e">
        <f t="shared" si="102"/>
        <v>#DIV/0!</v>
      </c>
    </row>
    <row r="1390" spans="1:6" ht="15" customHeight="1">
      <c r="A1390" s="81">
        <v>3431</v>
      </c>
      <c r="B1390" s="74" t="s">
        <v>721</v>
      </c>
      <c r="C1390" s="4">
        <v>0</v>
      </c>
      <c r="D1390" s="4">
        <v>0</v>
      </c>
      <c r="E1390" s="14">
        <v>186.55</v>
      </c>
      <c r="F1390" s="14" t="e">
        <f t="shared" si="102"/>
        <v>#DIV/0!</v>
      </c>
    </row>
    <row r="1391" spans="1:6" ht="15" customHeight="1">
      <c r="A1391" s="81">
        <v>3434</v>
      </c>
      <c r="B1391" s="74" t="s">
        <v>1001</v>
      </c>
      <c r="C1391" s="4">
        <v>0</v>
      </c>
      <c r="D1391" s="4">
        <v>0</v>
      </c>
      <c r="E1391" s="14">
        <v>0</v>
      </c>
      <c r="F1391" s="14" t="e">
        <f>E1391/D1391*100</f>
        <v>#DIV/0!</v>
      </c>
    </row>
    <row r="1392" spans="1:6" ht="21" customHeight="1">
      <c r="A1392" s="39">
        <v>38</v>
      </c>
      <c r="B1392" s="70" t="s">
        <v>556</v>
      </c>
      <c r="C1392" s="4">
        <f aca="true" t="shared" si="103" ref="C1392:E1393">C1393</f>
        <v>0</v>
      </c>
      <c r="D1392" s="4">
        <f t="shared" si="103"/>
        <v>0</v>
      </c>
      <c r="E1392" s="14">
        <f t="shared" si="103"/>
        <v>0</v>
      </c>
      <c r="F1392" s="14" t="e">
        <f t="shared" si="102"/>
        <v>#DIV/0!</v>
      </c>
    </row>
    <row r="1393" spans="1:6" ht="18" customHeight="1">
      <c r="A1393" s="39">
        <v>381</v>
      </c>
      <c r="B1393" s="74" t="s">
        <v>67</v>
      </c>
      <c r="C1393" s="4">
        <v>0</v>
      </c>
      <c r="D1393" s="4">
        <v>0</v>
      </c>
      <c r="E1393" s="14">
        <f t="shared" si="103"/>
        <v>0</v>
      </c>
      <c r="F1393" s="14" t="e">
        <f t="shared" si="102"/>
        <v>#DIV/0!</v>
      </c>
    </row>
    <row r="1394" spans="1:6" ht="15" customHeight="1">
      <c r="A1394" s="39">
        <v>3811</v>
      </c>
      <c r="B1394" s="74" t="s">
        <v>727</v>
      </c>
      <c r="C1394" s="4">
        <v>0</v>
      </c>
      <c r="D1394" s="4">
        <v>0</v>
      </c>
      <c r="E1394" s="14">
        <v>0</v>
      </c>
      <c r="F1394" s="14" t="e">
        <f t="shared" si="102"/>
        <v>#DIV/0!</v>
      </c>
    </row>
    <row r="1395" spans="1:6" ht="25.5" customHeight="1">
      <c r="A1395" s="241" t="s">
        <v>569</v>
      </c>
      <c r="B1395" s="242"/>
      <c r="C1395" s="5">
        <f>C1401+C1412</f>
        <v>21237</v>
      </c>
      <c r="D1395" s="5">
        <f>D1401+D1412</f>
        <v>21237</v>
      </c>
      <c r="E1395" s="132">
        <f>E1401+E1412</f>
        <v>4807.72</v>
      </c>
      <c r="F1395" s="14">
        <f aca="true" t="shared" si="104" ref="F1395:F1414">E1395/D1395*100</f>
        <v>22.638414088618923</v>
      </c>
    </row>
    <row r="1396" spans="1:6" ht="25.5" customHeight="1">
      <c r="A1396" s="233" t="s">
        <v>1122</v>
      </c>
      <c r="B1396" s="234"/>
      <c r="C1396" s="62">
        <f>SUM(C1397:C1400)</f>
        <v>21237</v>
      </c>
      <c r="D1396" s="62">
        <f>SUM(D1397:D1400)</f>
        <v>21237</v>
      </c>
      <c r="E1396" s="130">
        <f>SUM(E1397:E1400)</f>
        <v>4807.72</v>
      </c>
      <c r="F1396" s="14">
        <f t="shared" si="104"/>
        <v>22.638414088618923</v>
      </c>
    </row>
    <row r="1397" spans="1:6" ht="18" customHeight="1">
      <c r="A1397" s="229" t="s">
        <v>1025</v>
      </c>
      <c r="B1397" s="230"/>
      <c r="C1397" s="4">
        <v>11547</v>
      </c>
      <c r="D1397" s="4">
        <v>11547</v>
      </c>
      <c r="E1397" s="14">
        <v>3347.03</v>
      </c>
      <c r="F1397" s="14">
        <f t="shared" si="104"/>
        <v>28.986143587078892</v>
      </c>
    </row>
    <row r="1398" spans="1:6" ht="18" customHeight="1">
      <c r="A1398" s="229" t="s">
        <v>1289</v>
      </c>
      <c r="B1398" s="230"/>
      <c r="C1398" s="4">
        <v>0</v>
      </c>
      <c r="D1398" s="4">
        <v>0</v>
      </c>
      <c r="E1398" s="14">
        <v>1100.5</v>
      </c>
      <c r="F1398" s="14" t="e">
        <f t="shared" si="104"/>
        <v>#DIV/0!</v>
      </c>
    </row>
    <row r="1399" spans="1:6" ht="18" customHeight="1">
      <c r="A1399" s="229" t="s">
        <v>1290</v>
      </c>
      <c r="B1399" s="230"/>
      <c r="C1399" s="4">
        <v>7964</v>
      </c>
      <c r="D1399" s="4">
        <v>7964</v>
      </c>
      <c r="E1399" s="14">
        <v>360.19</v>
      </c>
      <c r="F1399" s="14">
        <f t="shared" si="104"/>
        <v>4.5227272727272725</v>
      </c>
    </row>
    <row r="1400" spans="1:6" ht="18" customHeight="1">
      <c r="A1400" s="229" t="s">
        <v>1435</v>
      </c>
      <c r="B1400" s="230"/>
      <c r="C1400" s="4">
        <v>1726</v>
      </c>
      <c r="D1400" s="4">
        <v>1726</v>
      </c>
      <c r="E1400" s="14">
        <v>0</v>
      </c>
      <c r="F1400" s="14">
        <f t="shared" si="104"/>
        <v>0</v>
      </c>
    </row>
    <row r="1401" spans="1:6" ht="21" customHeight="1">
      <c r="A1401" s="66">
        <v>42</v>
      </c>
      <c r="B1401" s="3" t="s">
        <v>9</v>
      </c>
      <c r="C1401" s="4">
        <v>21237</v>
      </c>
      <c r="D1401" s="4">
        <v>21237</v>
      </c>
      <c r="E1401" s="14">
        <f>E1402+E1404+E1407+E1409</f>
        <v>4807.72</v>
      </c>
      <c r="F1401" s="14">
        <f t="shared" si="104"/>
        <v>22.638414088618923</v>
      </c>
    </row>
    <row r="1402" spans="1:6" ht="18" customHeight="1">
      <c r="A1402" s="66">
        <v>421</v>
      </c>
      <c r="B1402" s="3" t="s">
        <v>84</v>
      </c>
      <c r="C1402" s="4">
        <v>0</v>
      </c>
      <c r="D1402" s="4">
        <v>0</v>
      </c>
      <c r="E1402" s="14">
        <f>E1403</f>
        <v>0</v>
      </c>
      <c r="F1402" s="14" t="e">
        <f t="shared" si="104"/>
        <v>#DIV/0!</v>
      </c>
    </row>
    <row r="1403" spans="1:6" ht="15" customHeight="1">
      <c r="A1403" s="66">
        <v>4221</v>
      </c>
      <c r="B1403" s="3" t="s">
        <v>1303</v>
      </c>
      <c r="C1403" s="4">
        <v>0</v>
      </c>
      <c r="D1403" s="4">
        <v>0</v>
      </c>
      <c r="E1403" s="14">
        <v>0</v>
      </c>
      <c r="F1403" s="14" t="e">
        <f t="shared" si="104"/>
        <v>#DIV/0!</v>
      </c>
    </row>
    <row r="1404" spans="1:6" ht="18" customHeight="1">
      <c r="A1404" s="66">
        <v>422</v>
      </c>
      <c r="B1404" s="3" t="s">
        <v>10</v>
      </c>
      <c r="C1404" s="4">
        <v>0</v>
      </c>
      <c r="D1404" s="4">
        <v>0</v>
      </c>
      <c r="E1404" s="14">
        <f>E1405+E1406</f>
        <v>0</v>
      </c>
      <c r="F1404" s="14" t="e">
        <f t="shared" si="104"/>
        <v>#DIV/0!</v>
      </c>
    </row>
    <row r="1405" spans="1:6" ht="15" customHeight="1">
      <c r="A1405" s="66">
        <v>4221</v>
      </c>
      <c r="B1405" s="3" t="s">
        <v>142</v>
      </c>
      <c r="C1405" s="4">
        <v>0</v>
      </c>
      <c r="D1405" s="4">
        <v>0</v>
      </c>
      <c r="E1405" s="14">
        <v>0</v>
      </c>
      <c r="F1405" s="14" t="e">
        <f t="shared" si="104"/>
        <v>#DIV/0!</v>
      </c>
    </row>
    <row r="1406" spans="1:6" ht="15" customHeight="1">
      <c r="A1406" s="66">
        <v>4223</v>
      </c>
      <c r="B1406" s="3" t="s">
        <v>13</v>
      </c>
      <c r="C1406" s="4">
        <v>0</v>
      </c>
      <c r="D1406" s="4">
        <v>0</v>
      </c>
      <c r="E1406" s="14">
        <v>0</v>
      </c>
      <c r="F1406" s="14" t="e">
        <f t="shared" si="104"/>
        <v>#DIV/0!</v>
      </c>
    </row>
    <row r="1407" spans="1:6" ht="18" customHeight="1">
      <c r="A1407" s="66">
        <v>424</v>
      </c>
      <c r="B1407" s="3" t="s">
        <v>27</v>
      </c>
      <c r="C1407" s="4">
        <v>0</v>
      </c>
      <c r="D1407" s="4">
        <v>0</v>
      </c>
      <c r="E1407" s="14">
        <f>SUM(E1408)</f>
        <v>4807.72</v>
      </c>
      <c r="F1407" s="14" t="e">
        <f t="shared" si="104"/>
        <v>#DIV/0!</v>
      </c>
    </row>
    <row r="1408" spans="1:6" ht="15" customHeight="1">
      <c r="A1408" s="66">
        <v>4241</v>
      </c>
      <c r="B1408" s="3" t="s">
        <v>28</v>
      </c>
      <c r="C1408" s="4">
        <v>0</v>
      </c>
      <c r="D1408" s="4">
        <v>0</v>
      </c>
      <c r="E1408" s="14">
        <v>4807.72</v>
      </c>
      <c r="F1408" s="14" t="e">
        <f t="shared" si="104"/>
        <v>#DIV/0!</v>
      </c>
    </row>
    <row r="1409" spans="1:6" ht="18" customHeight="1">
      <c r="A1409" s="66">
        <v>426</v>
      </c>
      <c r="B1409" s="3" t="s">
        <v>723</v>
      </c>
      <c r="C1409" s="4">
        <v>0</v>
      </c>
      <c r="D1409" s="4">
        <v>0</v>
      </c>
      <c r="E1409" s="14">
        <f>SUM(E1410:E1411)</f>
        <v>0</v>
      </c>
      <c r="F1409" s="14" t="e">
        <f t="shared" si="104"/>
        <v>#DIV/0!</v>
      </c>
    </row>
    <row r="1410" spans="1:6" ht="15" customHeight="1">
      <c r="A1410" s="66">
        <v>4262</v>
      </c>
      <c r="B1410" s="3" t="s">
        <v>724</v>
      </c>
      <c r="C1410" s="4">
        <v>0</v>
      </c>
      <c r="D1410" s="4">
        <v>0</v>
      </c>
      <c r="E1410" s="14">
        <v>0</v>
      </c>
      <c r="F1410" s="14" t="e">
        <f t="shared" si="104"/>
        <v>#DIV/0!</v>
      </c>
    </row>
    <row r="1411" spans="1:6" ht="15" customHeight="1">
      <c r="A1411" s="66">
        <v>4263</v>
      </c>
      <c r="B1411" s="3" t="s">
        <v>728</v>
      </c>
      <c r="C1411" s="4">
        <v>0</v>
      </c>
      <c r="D1411" s="4">
        <v>0</v>
      </c>
      <c r="E1411" s="14">
        <v>0</v>
      </c>
      <c r="F1411" s="14" t="e">
        <f t="shared" si="104"/>
        <v>#DIV/0!</v>
      </c>
    </row>
    <row r="1412" spans="1:6" ht="21" customHeight="1">
      <c r="A1412" s="66">
        <v>43</v>
      </c>
      <c r="B1412" s="3" t="s">
        <v>774</v>
      </c>
      <c r="C1412" s="4">
        <f aca="true" t="shared" si="105" ref="C1412:E1413">C1413</f>
        <v>0</v>
      </c>
      <c r="D1412" s="4">
        <f t="shared" si="105"/>
        <v>0</v>
      </c>
      <c r="E1412" s="14">
        <f t="shared" si="105"/>
        <v>0</v>
      </c>
      <c r="F1412" s="14" t="e">
        <f t="shared" si="104"/>
        <v>#DIV/0!</v>
      </c>
    </row>
    <row r="1413" spans="1:6" ht="18" customHeight="1">
      <c r="A1413" s="66">
        <v>431</v>
      </c>
      <c r="B1413" s="3" t="s">
        <v>775</v>
      </c>
      <c r="C1413" s="4">
        <v>0</v>
      </c>
      <c r="D1413" s="4">
        <v>0</v>
      </c>
      <c r="E1413" s="14">
        <f t="shared" si="105"/>
        <v>0</v>
      </c>
      <c r="F1413" s="14" t="e">
        <f t="shared" si="104"/>
        <v>#DIV/0!</v>
      </c>
    </row>
    <row r="1414" spans="1:6" ht="15" customHeight="1">
      <c r="A1414" s="66">
        <v>4312</v>
      </c>
      <c r="B1414" s="3" t="s">
        <v>776</v>
      </c>
      <c r="C1414" s="4">
        <v>0</v>
      </c>
      <c r="D1414" s="4">
        <v>0</v>
      </c>
      <c r="E1414" s="14">
        <v>0</v>
      </c>
      <c r="F1414" s="14" t="e">
        <f t="shared" si="104"/>
        <v>#DIV/0!</v>
      </c>
    </row>
    <row r="1415" spans="1:6" ht="25.5" customHeight="1">
      <c r="A1415" s="241" t="s">
        <v>1292</v>
      </c>
      <c r="B1415" s="242"/>
      <c r="C1415" s="5">
        <f>C1421</f>
        <v>0</v>
      </c>
      <c r="D1415" s="5">
        <f>D1421</f>
        <v>0</v>
      </c>
      <c r="E1415" s="132">
        <f>E1421</f>
        <v>0</v>
      </c>
      <c r="F1415" s="14" t="e">
        <f aca="true" t="shared" si="106" ref="F1415:F1427">E1415/D1415*100</f>
        <v>#DIV/0!</v>
      </c>
    </row>
    <row r="1416" spans="1:6" ht="25.5" customHeight="1">
      <c r="A1416" s="233" t="s">
        <v>1293</v>
      </c>
      <c r="B1416" s="234"/>
      <c r="C1416" s="62">
        <f>SUM(C1417:C1420)</f>
        <v>0</v>
      </c>
      <c r="D1416" s="62">
        <f>SUM(D1417:D1420)</f>
        <v>0</v>
      </c>
      <c r="E1416" s="130">
        <f>SUM(E1417:E1420)</f>
        <v>0</v>
      </c>
      <c r="F1416" s="14" t="e">
        <f t="shared" si="106"/>
        <v>#DIV/0!</v>
      </c>
    </row>
    <row r="1417" spans="1:6" ht="18" customHeight="1">
      <c r="A1417" s="229" t="s">
        <v>1025</v>
      </c>
      <c r="B1417" s="230"/>
      <c r="C1417" s="4">
        <v>0</v>
      </c>
      <c r="D1417" s="4">
        <v>0</v>
      </c>
      <c r="E1417" s="14">
        <v>0</v>
      </c>
      <c r="F1417" s="14" t="e">
        <f t="shared" si="106"/>
        <v>#DIV/0!</v>
      </c>
    </row>
    <row r="1418" spans="1:6" ht="18" customHeight="1">
      <c r="A1418" s="229" t="s">
        <v>1289</v>
      </c>
      <c r="B1418" s="230"/>
      <c r="C1418" s="4">
        <v>0</v>
      </c>
      <c r="D1418" s="4">
        <v>0</v>
      </c>
      <c r="E1418" s="14">
        <v>0</v>
      </c>
      <c r="F1418" s="14" t="e">
        <f t="shared" si="106"/>
        <v>#DIV/0!</v>
      </c>
    </row>
    <row r="1419" spans="1:6" ht="18" customHeight="1">
      <c r="A1419" s="229" t="s">
        <v>1290</v>
      </c>
      <c r="B1419" s="230"/>
      <c r="C1419" s="4">
        <v>0</v>
      </c>
      <c r="D1419" s="4">
        <v>0</v>
      </c>
      <c r="E1419" s="14">
        <v>0</v>
      </c>
      <c r="F1419" s="14" t="e">
        <f t="shared" si="106"/>
        <v>#DIV/0!</v>
      </c>
    </row>
    <row r="1420" spans="1:6" ht="18" customHeight="1">
      <c r="A1420" s="229" t="s">
        <v>1291</v>
      </c>
      <c r="B1420" s="230"/>
      <c r="C1420" s="4">
        <v>0</v>
      </c>
      <c r="D1420" s="4">
        <v>0</v>
      </c>
      <c r="E1420" s="14">
        <v>0</v>
      </c>
      <c r="F1420" s="14" t="e">
        <f t="shared" si="106"/>
        <v>#DIV/0!</v>
      </c>
    </row>
    <row r="1421" spans="1:6" ht="21" customHeight="1">
      <c r="A1421" s="66">
        <v>41</v>
      </c>
      <c r="B1421" s="3" t="s">
        <v>1294</v>
      </c>
      <c r="C1421" s="4">
        <f>C1422</f>
        <v>0</v>
      </c>
      <c r="D1421" s="4">
        <f>D1422</f>
        <v>0</v>
      </c>
      <c r="E1421" s="14">
        <f>E1422</f>
        <v>0</v>
      </c>
      <c r="F1421" s="14" t="e">
        <f t="shared" si="106"/>
        <v>#DIV/0!</v>
      </c>
    </row>
    <row r="1422" spans="1:6" ht="18" customHeight="1">
      <c r="A1422" s="66">
        <v>412</v>
      </c>
      <c r="B1422" s="3" t="s">
        <v>1295</v>
      </c>
      <c r="C1422" s="4">
        <v>0</v>
      </c>
      <c r="D1422" s="4">
        <v>0</v>
      </c>
      <c r="E1422" s="14">
        <f>E1423</f>
        <v>0</v>
      </c>
      <c r="F1422" s="14" t="e">
        <f t="shared" si="106"/>
        <v>#DIV/0!</v>
      </c>
    </row>
    <row r="1423" spans="1:6" ht="15" customHeight="1">
      <c r="A1423" s="66">
        <v>4124</v>
      </c>
      <c r="B1423" s="3" t="s">
        <v>1296</v>
      </c>
      <c r="C1423" s="4">
        <v>0</v>
      </c>
      <c r="D1423" s="4">
        <v>0</v>
      </c>
      <c r="E1423" s="14">
        <v>0</v>
      </c>
      <c r="F1423" s="14" t="e">
        <f t="shared" si="106"/>
        <v>#DIV/0!</v>
      </c>
    </row>
    <row r="1424" spans="1:6" ht="36" customHeight="1">
      <c r="A1424" s="231" t="s">
        <v>1436</v>
      </c>
      <c r="B1424" s="232"/>
      <c r="C1424" s="100">
        <f>C1426</f>
        <v>74000</v>
      </c>
      <c r="D1424" s="100">
        <f>D1426</f>
        <v>74000</v>
      </c>
      <c r="E1424" s="134">
        <f>E1426</f>
        <v>1002</v>
      </c>
      <c r="F1424" s="59">
        <f t="shared" si="106"/>
        <v>1.3540540540540542</v>
      </c>
    </row>
    <row r="1425" spans="1:6" ht="18" customHeight="1">
      <c r="A1425" s="229" t="s">
        <v>886</v>
      </c>
      <c r="B1425" s="230"/>
      <c r="C1425" s="4">
        <v>74000</v>
      </c>
      <c r="D1425" s="4">
        <v>74000</v>
      </c>
      <c r="E1425" s="14">
        <v>1002</v>
      </c>
      <c r="F1425" s="14">
        <f t="shared" si="106"/>
        <v>1.3540540540540542</v>
      </c>
    </row>
    <row r="1426" spans="1:6" ht="30" customHeight="1">
      <c r="A1426" s="235" t="s">
        <v>1437</v>
      </c>
      <c r="B1426" s="236"/>
      <c r="C1426" s="61">
        <f>C1430+C1438+C1462+C1469</f>
        <v>74000</v>
      </c>
      <c r="D1426" s="61">
        <f>D1430+D1438+D1462+D1469</f>
        <v>74000</v>
      </c>
      <c r="E1426" s="129">
        <f>E1430+E1438+E1462+E1469</f>
        <v>1002</v>
      </c>
      <c r="F1426" s="14">
        <f t="shared" si="106"/>
        <v>1.3540540540540542</v>
      </c>
    </row>
    <row r="1427" spans="1:6" ht="25.5" customHeight="1">
      <c r="A1427" s="237" t="s">
        <v>1438</v>
      </c>
      <c r="B1427" s="238"/>
      <c r="C1427" s="5">
        <f>C1430+C1438+C1462+C1466+C1469</f>
        <v>74000</v>
      </c>
      <c r="D1427" s="5">
        <f>D1430+D1438+D1462+D1466+D1469</f>
        <v>74000</v>
      </c>
      <c r="E1427" s="132">
        <f>E1430+E1438+E1462+E1466+E1469</f>
        <v>1002</v>
      </c>
      <c r="F1427" s="14">
        <f t="shared" si="106"/>
        <v>1.3540540540540542</v>
      </c>
    </row>
    <row r="1428" spans="1:6" ht="25.5" customHeight="1">
      <c r="A1428" s="233" t="s">
        <v>1439</v>
      </c>
      <c r="B1428" s="234"/>
      <c r="C1428" s="62">
        <f>SUM(C1429:C1429)</f>
        <v>74000</v>
      </c>
      <c r="D1428" s="62">
        <f>SUM(D1429:D1429)</f>
        <v>74000</v>
      </c>
      <c r="E1428" s="130">
        <f>SUM(E1429:E1429)</f>
        <v>1002</v>
      </c>
      <c r="F1428" s="14">
        <f aca="true" t="shared" si="107" ref="F1428:F1442">E1428/D1428*100</f>
        <v>1.3540540540540542</v>
      </c>
    </row>
    <row r="1429" spans="1:6" ht="18" customHeight="1">
      <c r="A1429" s="229" t="s">
        <v>1025</v>
      </c>
      <c r="B1429" s="230"/>
      <c r="C1429" s="4">
        <v>74000</v>
      </c>
      <c r="D1429" s="4">
        <v>74000</v>
      </c>
      <c r="E1429" s="14">
        <v>1002</v>
      </c>
      <c r="F1429" s="14">
        <f t="shared" si="107"/>
        <v>1.3540540540540542</v>
      </c>
    </row>
    <row r="1430" spans="1:6" ht="21" customHeight="1">
      <c r="A1430" s="66">
        <v>31</v>
      </c>
      <c r="B1430" s="3" t="s">
        <v>123</v>
      </c>
      <c r="C1430" s="4">
        <v>49000</v>
      </c>
      <c r="D1430" s="4">
        <v>49000</v>
      </c>
      <c r="E1430" s="14">
        <f>E1431+E1433+E1435</f>
        <v>790.5</v>
      </c>
      <c r="F1430" s="14">
        <f t="shared" si="107"/>
        <v>1.6132653061224491</v>
      </c>
    </row>
    <row r="1431" spans="1:6" ht="18" customHeight="1">
      <c r="A1431" s="66">
        <v>311</v>
      </c>
      <c r="B1431" s="3" t="s">
        <v>324</v>
      </c>
      <c r="C1431" s="4">
        <v>0</v>
      </c>
      <c r="D1431" s="4">
        <v>0</v>
      </c>
      <c r="E1431" s="14">
        <f>SUM(E1432)</f>
        <v>678.54</v>
      </c>
      <c r="F1431" s="14" t="e">
        <f t="shared" si="107"/>
        <v>#DIV/0!</v>
      </c>
    </row>
    <row r="1432" spans="1:6" ht="15" customHeight="1">
      <c r="A1432" s="66">
        <v>3111</v>
      </c>
      <c r="B1432" s="3" t="s">
        <v>124</v>
      </c>
      <c r="C1432" s="4">
        <v>0</v>
      </c>
      <c r="D1432" s="4">
        <v>0</v>
      </c>
      <c r="E1432" s="14">
        <v>678.54</v>
      </c>
      <c r="F1432" s="14" t="e">
        <f t="shared" si="107"/>
        <v>#DIV/0!</v>
      </c>
    </row>
    <row r="1433" spans="1:6" ht="18" customHeight="1">
      <c r="A1433" s="66">
        <v>312</v>
      </c>
      <c r="B1433" s="3" t="s">
        <v>125</v>
      </c>
      <c r="C1433" s="4">
        <v>0</v>
      </c>
      <c r="D1433" s="4">
        <v>0</v>
      </c>
      <c r="E1433" s="14">
        <f>SUM(E1434)</f>
        <v>0</v>
      </c>
      <c r="F1433" s="14" t="e">
        <f t="shared" si="107"/>
        <v>#DIV/0!</v>
      </c>
    </row>
    <row r="1434" spans="1:6" ht="15" customHeight="1">
      <c r="A1434" s="66">
        <v>3121</v>
      </c>
      <c r="B1434" s="3" t="s">
        <v>126</v>
      </c>
      <c r="C1434" s="4">
        <v>0</v>
      </c>
      <c r="D1434" s="4">
        <v>0</v>
      </c>
      <c r="E1434" s="14">
        <v>0</v>
      </c>
      <c r="F1434" s="14" t="e">
        <f t="shared" si="107"/>
        <v>#DIV/0!</v>
      </c>
    </row>
    <row r="1435" spans="1:6" ht="18" customHeight="1">
      <c r="A1435" s="66">
        <v>313</v>
      </c>
      <c r="B1435" s="3" t="s">
        <v>127</v>
      </c>
      <c r="C1435" s="4">
        <v>0</v>
      </c>
      <c r="D1435" s="4">
        <v>0</v>
      </c>
      <c r="E1435" s="14">
        <f>SUM(E1436:E1437)</f>
        <v>111.96</v>
      </c>
      <c r="F1435" s="14" t="e">
        <f t="shared" si="107"/>
        <v>#DIV/0!</v>
      </c>
    </row>
    <row r="1436" spans="1:6" ht="15" customHeight="1">
      <c r="A1436" s="66">
        <v>3132</v>
      </c>
      <c r="B1436" s="70" t="s">
        <v>340</v>
      </c>
      <c r="C1436" s="4">
        <v>0</v>
      </c>
      <c r="D1436" s="4">
        <v>0</v>
      </c>
      <c r="E1436" s="14">
        <v>111.96</v>
      </c>
      <c r="F1436" s="14" t="e">
        <f t="shared" si="107"/>
        <v>#DIV/0!</v>
      </c>
    </row>
    <row r="1437" spans="1:6" ht="15" customHeight="1">
      <c r="A1437" s="66">
        <v>3133</v>
      </c>
      <c r="B1437" s="70" t="s">
        <v>341</v>
      </c>
      <c r="C1437" s="4">
        <v>0</v>
      </c>
      <c r="D1437" s="4">
        <v>0</v>
      </c>
      <c r="E1437" s="14">
        <v>0</v>
      </c>
      <c r="F1437" s="14" t="e">
        <f t="shared" si="107"/>
        <v>#DIV/0!</v>
      </c>
    </row>
    <row r="1438" spans="1:6" ht="21" customHeight="1">
      <c r="A1438" s="66">
        <v>32</v>
      </c>
      <c r="B1438" s="3" t="s">
        <v>271</v>
      </c>
      <c r="C1438" s="4">
        <v>21000</v>
      </c>
      <c r="D1438" s="4">
        <v>21000</v>
      </c>
      <c r="E1438" s="14">
        <f>E1439+E1443+E1447+E1456</f>
        <v>200</v>
      </c>
      <c r="F1438" s="14">
        <f t="shared" si="107"/>
        <v>0.9523809523809524</v>
      </c>
    </row>
    <row r="1439" spans="1:6" ht="18" customHeight="1">
      <c r="A1439" s="81">
        <v>321</v>
      </c>
      <c r="B1439" s="74" t="s">
        <v>143</v>
      </c>
      <c r="C1439" s="4">
        <v>0</v>
      </c>
      <c r="D1439" s="4">
        <v>0</v>
      </c>
      <c r="E1439" s="14">
        <f>SUM(E1440:E1442)</f>
        <v>0</v>
      </c>
      <c r="F1439" s="14" t="e">
        <f t="shared" si="107"/>
        <v>#DIV/0!</v>
      </c>
    </row>
    <row r="1440" spans="1:6" ht="15" customHeight="1">
      <c r="A1440" s="81">
        <v>3211</v>
      </c>
      <c r="B1440" s="74" t="s">
        <v>705</v>
      </c>
      <c r="C1440" s="4">
        <v>0</v>
      </c>
      <c r="D1440" s="4">
        <v>0</v>
      </c>
      <c r="E1440" s="14">
        <v>0</v>
      </c>
      <c r="F1440" s="14" t="e">
        <f t="shared" si="107"/>
        <v>#DIV/0!</v>
      </c>
    </row>
    <row r="1441" spans="1:6" ht="15" customHeight="1">
      <c r="A1441" s="81">
        <v>3212</v>
      </c>
      <c r="B1441" s="74" t="s">
        <v>145</v>
      </c>
      <c r="C1441" s="4">
        <v>0</v>
      </c>
      <c r="D1441" s="4">
        <v>0</v>
      </c>
      <c r="E1441" s="14">
        <v>0</v>
      </c>
      <c r="F1441" s="14" t="e">
        <f t="shared" si="107"/>
        <v>#DIV/0!</v>
      </c>
    </row>
    <row r="1442" spans="1:6" ht="15" customHeight="1">
      <c r="A1442" s="81">
        <v>3213</v>
      </c>
      <c r="B1442" s="74" t="s">
        <v>706</v>
      </c>
      <c r="C1442" s="4">
        <v>0</v>
      </c>
      <c r="D1442" s="4">
        <v>0</v>
      </c>
      <c r="E1442" s="14">
        <v>0</v>
      </c>
      <c r="F1442" s="14" t="e">
        <f t="shared" si="107"/>
        <v>#DIV/0!</v>
      </c>
    </row>
    <row r="1443" spans="1:6" ht="17.25" customHeight="1">
      <c r="A1443" s="66">
        <v>322</v>
      </c>
      <c r="B1443" s="3" t="s">
        <v>19</v>
      </c>
      <c r="C1443" s="4">
        <v>0</v>
      </c>
      <c r="D1443" s="4">
        <v>0</v>
      </c>
      <c r="E1443" s="14">
        <f>SUM(E1444:E1446)</f>
        <v>0</v>
      </c>
      <c r="F1443" s="14" t="e">
        <f aca="true" t="shared" si="108" ref="F1443:F1451">E1443/D1443*100</f>
        <v>#DIV/0!</v>
      </c>
    </row>
    <row r="1444" spans="1:6" ht="15" customHeight="1">
      <c r="A1444" s="66">
        <v>3221</v>
      </c>
      <c r="B1444" s="3" t="s">
        <v>20</v>
      </c>
      <c r="C1444" s="4">
        <v>0</v>
      </c>
      <c r="D1444" s="4">
        <v>0</v>
      </c>
      <c r="E1444" s="14">
        <v>0</v>
      </c>
      <c r="F1444" s="14" t="e">
        <f t="shared" si="108"/>
        <v>#DIV/0!</v>
      </c>
    </row>
    <row r="1445" spans="1:6" ht="15" customHeight="1">
      <c r="A1445" s="66">
        <v>3224</v>
      </c>
      <c r="B1445" s="3" t="s">
        <v>21</v>
      </c>
      <c r="C1445" s="4">
        <v>0</v>
      </c>
      <c r="D1445" s="4">
        <v>0</v>
      </c>
      <c r="E1445" s="14">
        <v>0</v>
      </c>
      <c r="F1445" s="14" t="e">
        <f t="shared" si="108"/>
        <v>#DIV/0!</v>
      </c>
    </row>
    <row r="1446" spans="1:6" ht="15" customHeight="1">
      <c r="A1446" s="66">
        <v>3225</v>
      </c>
      <c r="B1446" s="3" t="s">
        <v>22</v>
      </c>
      <c r="C1446" s="4">
        <v>0</v>
      </c>
      <c r="D1446" s="4">
        <v>0</v>
      </c>
      <c r="E1446" s="14">
        <v>0</v>
      </c>
      <c r="F1446" s="14" t="e">
        <f t="shared" si="108"/>
        <v>#DIV/0!</v>
      </c>
    </row>
    <row r="1447" spans="1:6" ht="18" customHeight="1">
      <c r="A1447" s="66">
        <v>323</v>
      </c>
      <c r="B1447" s="3" t="s">
        <v>0</v>
      </c>
      <c r="C1447" s="4">
        <v>0</v>
      </c>
      <c r="D1447" s="4">
        <v>0</v>
      </c>
      <c r="E1447" s="14">
        <f>SUM(E1448:E1455)</f>
        <v>200</v>
      </c>
      <c r="F1447" s="14" t="e">
        <f t="shared" si="108"/>
        <v>#DIV/0!</v>
      </c>
    </row>
    <row r="1448" spans="1:6" ht="15" customHeight="1">
      <c r="A1448" s="66">
        <v>3231</v>
      </c>
      <c r="B1448" s="3" t="s">
        <v>23</v>
      </c>
      <c r="C1448" s="4">
        <v>0</v>
      </c>
      <c r="D1448" s="4">
        <v>0</v>
      </c>
      <c r="E1448" s="14">
        <v>0</v>
      </c>
      <c r="F1448" s="14" t="e">
        <f t="shared" si="108"/>
        <v>#DIV/0!</v>
      </c>
    </row>
    <row r="1449" spans="1:6" ht="15" customHeight="1">
      <c r="A1449" s="66">
        <v>3232</v>
      </c>
      <c r="B1449" s="3" t="s">
        <v>73</v>
      </c>
      <c r="C1449" s="4">
        <v>0</v>
      </c>
      <c r="D1449" s="4">
        <v>0</v>
      </c>
      <c r="E1449" s="14">
        <v>0</v>
      </c>
      <c r="F1449" s="14" t="e">
        <f t="shared" si="108"/>
        <v>#DIV/0!</v>
      </c>
    </row>
    <row r="1450" spans="1:6" ht="15" customHeight="1">
      <c r="A1450" s="66">
        <v>3233</v>
      </c>
      <c r="B1450" s="3" t="s">
        <v>100</v>
      </c>
      <c r="C1450" s="4">
        <v>0</v>
      </c>
      <c r="D1450" s="4">
        <v>0</v>
      </c>
      <c r="E1450" s="14">
        <v>0</v>
      </c>
      <c r="F1450" s="14" t="e">
        <f t="shared" si="108"/>
        <v>#DIV/0!</v>
      </c>
    </row>
    <row r="1451" spans="1:6" ht="15" customHeight="1">
      <c r="A1451" s="39" t="s">
        <v>558</v>
      </c>
      <c r="B1451" s="74" t="s">
        <v>92</v>
      </c>
      <c r="C1451" s="4">
        <v>0</v>
      </c>
      <c r="D1451" s="4">
        <v>0</v>
      </c>
      <c r="E1451" s="14">
        <v>0</v>
      </c>
      <c r="F1451" s="14" t="e">
        <f t="shared" si="108"/>
        <v>#DIV/0!</v>
      </c>
    </row>
    <row r="1452" spans="1:6" ht="15" customHeight="1">
      <c r="A1452" s="66">
        <v>3235</v>
      </c>
      <c r="B1452" s="3" t="s">
        <v>598</v>
      </c>
      <c r="C1452" s="4">
        <v>0</v>
      </c>
      <c r="D1452" s="4">
        <v>0</v>
      </c>
      <c r="E1452" s="14">
        <v>0</v>
      </c>
      <c r="F1452" s="14" t="e">
        <f aca="true" t="shared" si="109" ref="F1452:F1465">E1452/D1452*100</f>
        <v>#DIV/0!</v>
      </c>
    </row>
    <row r="1453" spans="1:6" ht="15" customHeight="1">
      <c r="A1453" s="66">
        <v>3237</v>
      </c>
      <c r="B1453" s="3" t="s">
        <v>24</v>
      </c>
      <c r="C1453" s="4">
        <v>0</v>
      </c>
      <c r="D1453" s="4">
        <v>0</v>
      </c>
      <c r="E1453" s="14">
        <v>200</v>
      </c>
      <c r="F1453" s="14" t="e">
        <f t="shared" si="109"/>
        <v>#DIV/0!</v>
      </c>
    </row>
    <row r="1454" spans="1:6" ht="15" customHeight="1">
      <c r="A1454" s="66">
        <v>3238</v>
      </c>
      <c r="B1454" s="3" t="s">
        <v>570</v>
      </c>
      <c r="C1454" s="4">
        <v>0</v>
      </c>
      <c r="D1454" s="4">
        <v>0</v>
      </c>
      <c r="E1454" s="14">
        <v>0</v>
      </c>
      <c r="F1454" s="14" t="e">
        <f t="shared" si="109"/>
        <v>#DIV/0!</v>
      </c>
    </row>
    <row r="1455" spans="1:6" ht="15" customHeight="1">
      <c r="A1455" s="66">
        <v>3239</v>
      </c>
      <c r="B1455" s="3" t="s">
        <v>154</v>
      </c>
      <c r="C1455" s="4">
        <v>0</v>
      </c>
      <c r="D1455" s="4">
        <v>0</v>
      </c>
      <c r="E1455" s="14">
        <v>0</v>
      </c>
      <c r="F1455" s="14" t="e">
        <f t="shared" si="109"/>
        <v>#DIV/0!</v>
      </c>
    </row>
    <row r="1456" spans="1:6" ht="18" customHeight="1">
      <c r="A1456" s="66">
        <v>329</v>
      </c>
      <c r="B1456" s="3" t="s">
        <v>25</v>
      </c>
      <c r="C1456" s="4">
        <v>0</v>
      </c>
      <c r="D1456" s="4">
        <v>0</v>
      </c>
      <c r="E1456" s="14">
        <f>SUM(E1457:E1461)</f>
        <v>0</v>
      </c>
      <c r="F1456" s="14" t="e">
        <f t="shared" si="109"/>
        <v>#DIV/0!</v>
      </c>
    </row>
    <row r="1457" spans="1:6" ht="15" customHeight="1">
      <c r="A1457" s="66">
        <v>3292</v>
      </c>
      <c r="B1457" s="3" t="s">
        <v>4</v>
      </c>
      <c r="C1457" s="4">
        <v>0</v>
      </c>
      <c r="D1457" s="4">
        <v>0</v>
      </c>
      <c r="E1457" s="14">
        <v>0</v>
      </c>
      <c r="F1457" s="14" t="e">
        <f t="shared" si="109"/>
        <v>#DIV/0!</v>
      </c>
    </row>
    <row r="1458" spans="1:6" ht="15" customHeight="1">
      <c r="A1458" s="66">
        <v>3293</v>
      </c>
      <c r="B1458" s="3" t="s">
        <v>718</v>
      </c>
      <c r="C1458" s="4">
        <v>0</v>
      </c>
      <c r="D1458" s="4">
        <v>0</v>
      </c>
      <c r="E1458" s="14">
        <v>0</v>
      </c>
      <c r="F1458" s="14" t="e">
        <f t="shared" si="109"/>
        <v>#DIV/0!</v>
      </c>
    </row>
    <row r="1459" spans="1:6" ht="15" customHeight="1">
      <c r="A1459" s="66">
        <v>3294</v>
      </c>
      <c r="B1459" s="3" t="s">
        <v>725</v>
      </c>
      <c r="C1459" s="4">
        <v>0</v>
      </c>
      <c r="D1459" s="4">
        <v>0</v>
      </c>
      <c r="E1459" s="14">
        <v>0</v>
      </c>
      <c r="F1459" s="14" t="e">
        <f t="shared" si="109"/>
        <v>#DIV/0!</v>
      </c>
    </row>
    <row r="1460" spans="1:6" ht="15" customHeight="1">
      <c r="A1460" s="66">
        <v>3295</v>
      </c>
      <c r="B1460" s="3" t="s">
        <v>335</v>
      </c>
      <c r="C1460" s="4">
        <v>0</v>
      </c>
      <c r="D1460" s="4">
        <v>0</v>
      </c>
      <c r="E1460" s="14">
        <v>0</v>
      </c>
      <c r="F1460" s="14" t="e">
        <f t="shared" si="109"/>
        <v>#DIV/0!</v>
      </c>
    </row>
    <row r="1461" spans="1:6" ht="15" customHeight="1">
      <c r="A1461" s="66">
        <v>3299</v>
      </c>
      <c r="B1461" s="3" t="s">
        <v>726</v>
      </c>
      <c r="C1461" s="4">
        <v>0</v>
      </c>
      <c r="D1461" s="4">
        <v>0</v>
      </c>
      <c r="E1461" s="14">
        <v>0</v>
      </c>
      <c r="F1461" s="14" t="e">
        <f t="shared" si="109"/>
        <v>#DIV/0!</v>
      </c>
    </row>
    <row r="1462" spans="1:6" ht="21" customHeight="1">
      <c r="A1462" s="39" t="s">
        <v>720</v>
      </c>
      <c r="B1462" s="74" t="s">
        <v>59</v>
      </c>
      <c r="C1462" s="4">
        <v>1000</v>
      </c>
      <c r="D1462" s="4">
        <v>1000</v>
      </c>
      <c r="E1462" s="14">
        <f>E1463</f>
        <v>11.5</v>
      </c>
      <c r="F1462" s="14">
        <f t="shared" si="109"/>
        <v>1.15</v>
      </c>
    </row>
    <row r="1463" spans="1:6" ht="18" customHeight="1">
      <c r="A1463" s="81">
        <v>343</v>
      </c>
      <c r="B1463" s="74" t="s">
        <v>60</v>
      </c>
      <c r="C1463" s="4">
        <v>0</v>
      </c>
      <c r="D1463" s="4">
        <v>0</v>
      </c>
      <c r="E1463" s="14">
        <f>SUM(E1464:E1465)</f>
        <v>11.5</v>
      </c>
      <c r="F1463" s="14" t="e">
        <f t="shared" si="109"/>
        <v>#DIV/0!</v>
      </c>
    </row>
    <row r="1464" spans="1:6" ht="15" customHeight="1">
      <c r="A1464" s="81">
        <v>3431</v>
      </c>
      <c r="B1464" s="74" t="s">
        <v>721</v>
      </c>
      <c r="C1464" s="4">
        <v>0</v>
      </c>
      <c r="D1464" s="4">
        <v>0</v>
      </c>
      <c r="E1464" s="14">
        <v>11.5</v>
      </c>
      <c r="F1464" s="14" t="e">
        <f t="shared" si="109"/>
        <v>#DIV/0!</v>
      </c>
    </row>
    <row r="1465" spans="1:6" ht="15" customHeight="1">
      <c r="A1465" s="81">
        <v>3434</v>
      </c>
      <c r="B1465" s="74" t="s">
        <v>1001</v>
      </c>
      <c r="C1465" s="4">
        <v>0</v>
      </c>
      <c r="D1465" s="4">
        <v>0</v>
      </c>
      <c r="E1465" s="14">
        <v>0</v>
      </c>
      <c r="F1465" s="14" t="e">
        <f t="shared" si="109"/>
        <v>#DIV/0!</v>
      </c>
    </row>
    <row r="1466" spans="1:6" ht="21" customHeight="1">
      <c r="A1466" s="39">
        <v>38</v>
      </c>
      <c r="B1466" s="70" t="s">
        <v>556</v>
      </c>
      <c r="C1466" s="4">
        <f aca="true" t="shared" si="110" ref="C1466:E1467">C1467</f>
        <v>0</v>
      </c>
      <c r="D1466" s="4">
        <f t="shared" si="110"/>
        <v>0</v>
      </c>
      <c r="E1466" s="14">
        <f t="shared" si="110"/>
        <v>0</v>
      </c>
      <c r="F1466" s="14" t="e">
        <f aca="true" t="shared" si="111" ref="F1466:F1472">E1466/D1466*100</f>
        <v>#DIV/0!</v>
      </c>
    </row>
    <row r="1467" spans="1:6" ht="18" customHeight="1">
      <c r="A1467" s="39">
        <v>381</v>
      </c>
      <c r="B1467" s="74" t="s">
        <v>67</v>
      </c>
      <c r="C1467" s="4">
        <v>0</v>
      </c>
      <c r="D1467" s="4">
        <v>0</v>
      </c>
      <c r="E1467" s="14">
        <f t="shared" si="110"/>
        <v>0</v>
      </c>
      <c r="F1467" s="14" t="e">
        <f t="shared" si="111"/>
        <v>#DIV/0!</v>
      </c>
    </row>
    <row r="1468" spans="1:6" ht="15" customHeight="1">
      <c r="A1468" s="39">
        <v>3811</v>
      </c>
      <c r="B1468" s="74" t="s">
        <v>727</v>
      </c>
      <c r="C1468" s="4">
        <v>0</v>
      </c>
      <c r="D1468" s="4">
        <v>0</v>
      </c>
      <c r="E1468" s="14">
        <v>0</v>
      </c>
      <c r="F1468" s="14" t="e">
        <f t="shared" si="111"/>
        <v>#DIV/0!</v>
      </c>
    </row>
    <row r="1469" spans="1:6" ht="21" customHeight="1">
      <c r="A1469" s="66">
        <v>42</v>
      </c>
      <c r="B1469" s="3" t="s">
        <v>9</v>
      </c>
      <c r="C1469" s="4">
        <v>3000</v>
      </c>
      <c r="D1469" s="4">
        <v>3000</v>
      </c>
      <c r="E1469" s="14">
        <f>E1470</f>
        <v>0</v>
      </c>
      <c r="F1469" s="14">
        <f t="shared" si="111"/>
        <v>0</v>
      </c>
    </row>
    <row r="1470" spans="1:6" ht="18" customHeight="1">
      <c r="A1470" s="66">
        <v>422</v>
      </c>
      <c r="B1470" s="3" t="s">
        <v>10</v>
      </c>
      <c r="C1470" s="4">
        <v>0</v>
      </c>
      <c r="D1470" s="4">
        <v>0</v>
      </c>
      <c r="E1470" s="14">
        <f>E1471+E1472</f>
        <v>0</v>
      </c>
      <c r="F1470" s="14" t="e">
        <f t="shared" si="111"/>
        <v>#DIV/0!</v>
      </c>
    </row>
    <row r="1471" spans="1:6" ht="15" customHeight="1">
      <c r="A1471" s="66">
        <v>4221</v>
      </c>
      <c r="B1471" s="3" t="s">
        <v>142</v>
      </c>
      <c r="C1471" s="4">
        <v>0</v>
      </c>
      <c r="D1471" s="4">
        <v>0</v>
      </c>
      <c r="E1471" s="14">
        <v>0</v>
      </c>
      <c r="F1471" s="14" t="e">
        <f t="shared" si="111"/>
        <v>#DIV/0!</v>
      </c>
    </row>
    <row r="1472" spans="1:6" ht="15" customHeight="1">
      <c r="A1472" s="66">
        <v>4223</v>
      </c>
      <c r="B1472" s="3" t="s">
        <v>13</v>
      </c>
      <c r="C1472" s="4">
        <v>0</v>
      </c>
      <c r="D1472" s="4">
        <v>0</v>
      </c>
      <c r="E1472" s="14">
        <v>0</v>
      </c>
      <c r="F1472" s="14" t="e">
        <f t="shared" si="111"/>
        <v>#DIV/0!</v>
      </c>
    </row>
    <row r="1473" spans="1:6" ht="32.25" customHeight="1">
      <c r="A1473" s="3"/>
      <c r="B1473" s="136" t="s">
        <v>29</v>
      </c>
      <c r="C1473" s="82">
        <f>C6</f>
        <v>11677900</v>
      </c>
      <c r="D1473" s="82">
        <f>D6</f>
        <v>11677900</v>
      </c>
      <c r="E1473" s="135">
        <f>E6</f>
        <v>2666799.3199999994</v>
      </c>
      <c r="F1473" s="14">
        <f>E1473/D1473*100</f>
        <v>22.836291799039206</v>
      </c>
    </row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</sheetData>
  <sheetProtection/>
  <mergeCells count="816">
    <mergeCell ref="A1313:B1313"/>
    <mergeCell ref="A1314:B1314"/>
    <mergeCell ref="A1315:B1315"/>
    <mergeCell ref="A1141:B1141"/>
    <mergeCell ref="A1142:B1142"/>
    <mergeCell ref="A1143:B1143"/>
    <mergeCell ref="A1161:B1161"/>
    <mergeCell ref="A1162:B1162"/>
    <mergeCell ref="A1163:B1163"/>
    <mergeCell ref="A721:B721"/>
    <mergeCell ref="A722:B722"/>
    <mergeCell ref="A1011:B1011"/>
    <mergeCell ref="A1012:B1012"/>
    <mergeCell ref="A1013:B1013"/>
    <mergeCell ref="A1014:B1014"/>
    <mergeCell ref="A855:B855"/>
    <mergeCell ref="A856:B856"/>
    <mergeCell ref="A852:B852"/>
    <mergeCell ref="A854:B854"/>
    <mergeCell ref="A715:B715"/>
    <mergeCell ref="A716:B716"/>
    <mergeCell ref="A717:B717"/>
    <mergeCell ref="A718:B718"/>
    <mergeCell ref="A719:B719"/>
    <mergeCell ref="A720:B720"/>
    <mergeCell ref="A471:B471"/>
    <mergeCell ref="A472:B472"/>
    <mergeCell ref="A473:B473"/>
    <mergeCell ref="A474:B474"/>
    <mergeCell ref="A475:B475"/>
    <mergeCell ref="A476:B476"/>
    <mergeCell ref="A339:B339"/>
    <mergeCell ref="A340:B340"/>
    <mergeCell ref="A341:B341"/>
    <mergeCell ref="A342:B342"/>
    <mergeCell ref="A343:B343"/>
    <mergeCell ref="A344:B344"/>
    <mergeCell ref="A121:B121"/>
    <mergeCell ref="A122:B122"/>
    <mergeCell ref="A302:B302"/>
    <mergeCell ref="A303:B303"/>
    <mergeCell ref="A304:B304"/>
    <mergeCell ref="A305:B305"/>
    <mergeCell ref="A168:B168"/>
    <mergeCell ref="A293:B293"/>
    <mergeCell ref="A294:B294"/>
    <mergeCell ref="A295:B295"/>
    <mergeCell ref="A115:B115"/>
    <mergeCell ref="A116:B116"/>
    <mergeCell ref="A117:B117"/>
    <mergeCell ref="A118:B118"/>
    <mergeCell ref="A119:B119"/>
    <mergeCell ref="A120:B120"/>
    <mergeCell ref="A25:B25"/>
    <mergeCell ref="A1236:B1236"/>
    <mergeCell ref="A1415:B1415"/>
    <mergeCell ref="A1416:B1416"/>
    <mergeCell ref="A163:B163"/>
    <mergeCell ref="A164:B164"/>
    <mergeCell ref="A165:B165"/>
    <mergeCell ref="A166:B166"/>
    <mergeCell ref="A851:B851"/>
    <mergeCell ref="A847:B847"/>
    <mergeCell ref="A1349:B1349"/>
    <mergeCell ref="A1242:B1242"/>
    <mergeCell ref="A1244:B1244"/>
    <mergeCell ref="A1245:B1245"/>
    <mergeCell ref="A857:B857"/>
    <mergeCell ref="A1305:B1305"/>
    <mergeCell ref="A858:B858"/>
    <mergeCell ref="A914:B914"/>
    <mergeCell ref="A915:B915"/>
    <mergeCell ref="A900:B900"/>
    <mergeCell ref="A853:B853"/>
    <mergeCell ref="A821:B821"/>
    <mergeCell ref="A822:B822"/>
    <mergeCell ref="A842:B842"/>
    <mergeCell ref="A843:B843"/>
    <mergeCell ref="A844:B844"/>
    <mergeCell ref="A845:B845"/>
    <mergeCell ref="A846:B846"/>
    <mergeCell ref="A833:B833"/>
    <mergeCell ref="A829:B829"/>
    <mergeCell ref="A810:B810"/>
    <mergeCell ref="A835:B835"/>
    <mergeCell ref="A836:B836"/>
    <mergeCell ref="A834:B834"/>
    <mergeCell ref="A841:B841"/>
    <mergeCell ref="A840:B840"/>
    <mergeCell ref="A819:B819"/>
    <mergeCell ref="A820:B820"/>
    <mergeCell ref="A803:B803"/>
    <mergeCell ref="A816:B816"/>
    <mergeCell ref="A831:B831"/>
    <mergeCell ref="A832:B832"/>
    <mergeCell ref="A823:B823"/>
    <mergeCell ref="A830:B830"/>
    <mergeCell ref="A807:B807"/>
    <mergeCell ref="A808:B808"/>
    <mergeCell ref="A809:B809"/>
    <mergeCell ref="A818:B818"/>
    <mergeCell ref="A795:B795"/>
    <mergeCell ref="A796:B796"/>
    <mergeCell ref="A793:B793"/>
    <mergeCell ref="A794:B794"/>
    <mergeCell ref="A817:B817"/>
    <mergeCell ref="A797:B797"/>
    <mergeCell ref="A798:B798"/>
    <mergeCell ref="A805:B805"/>
    <mergeCell ref="A806:B806"/>
    <mergeCell ref="A804:B804"/>
    <mergeCell ref="A784:B784"/>
    <mergeCell ref="A785:B785"/>
    <mergeCell ref="A782:B782"/>
    <mergeCell ref="A783:B783"/>
    <mergeCell ref="A786:B786"/>
    <mergeCell ref="A792:B792"/>
    <mergeCell ref="A774:B774"/>
    <mergeCell ref="A775:B775"/>
    <mergeCell ref="A773:B773"/>
    <mergeCell ref="A768:B768"/>
    <mergeCell ref="A780:B780"/>
    <mergeCell ref="A781:B781"/>
    <mergeCell ref="A761:B761"/>
    <mergeCell ref="A762:B762"/>
    <mergeCell ref="A770:B770"/>
    <mergeCell ref="A767:B767"/>
    <mergeCell ref="A771:B771"/>
    <mergeCell ref="A772:B772"/>
    <mergeCell ref="A733:B733"/>
    <mergeCell ref="A734:B734"/>
    <mergeCell ref="A757:B757"/>
    <mergeCell ref="A758:B758"/>
    <mergeCell ref="A759:B759"/>
    <mergeCell ref="A760:B760"/>
    <mergeCell ref="A706:B706"/>
    <mergeCell ref="A707:B707"/>
    <mergeCell ref="A763:B763"/>
    <mergeCell ref="A769:B769"/>
    <mergeCell ref="A727:B727"/>
    <mergeCell ref="A746:B746"/>
    <mergeCell ref="A742:B742"/>
    <mergeCell ref="A747:B747"/>
    <mergeCell ref="A748:B748"/>
    <mergeCell ref="A749:B749"/>
    <mergeCell ref="A696:B696"/>
    <mergeCell ref="A697:B697"/>
    <mergeCell ref="A743:B743"/>
    <mergeCell ref="A744:B744"/>
    <mergeCell ref="A745:B745"/>
    <mergeCell ref="A730:B730"/>
    <mergeCell ref="A732:B732"/>
    <mergeCell ref="A699:B699"/>
    <mergeCell ref="A700:B700"/>
    <mergeCell ref="A705:B705"/>
    <mergeCell ref="A674:B674"/>
    <mergeCell ref="A675:B675"/>
    <mergeCell ref="A711:B711"/>
    <mergeCell ref="A708:B708"/>
    <mergeCell ref="A709:B709"/>
    <mergeCell ref="A710:B710"/>
    <mergeCell ref="A688:B688"/>
    <mergeCell ref="A689:B689"/>
    <mergeCell ref="A694:B694"/>
    <mergeCell ref="A695:B695"/>
    <mergeCell ref="A666:B666"/>
    <mergeCell ref="A671:B671"/>
    <mergeCell ref="A683:B683"/>
    <mergeCell ref="A684:B684"/>
    <mergeCell ref="A698:B698"/>
    <mergeCell ref="A685:B685"/>
    <mergeCell ref="A686:B686"/>
    <mergeCell ref="A687:B687"/>
    <mergeCell ref="A672:B672"/>
    <mergeCell ref="A673:B673"/>
    <mergeCell ref="A655:B655"/>
    <mergeCell ref="A670:B670"/>
    <mergeCell ref="A677:B677"/>
    <mergeCell ref="A659:B659"/>
    <mergeCell ref="A660:B660"/>
    <mergeCell ref="A661:B661"/>
    <mergeCell ref="A662:B662"/>
    <mergeCell ref="A663:B663"/>
    <mergeCell ref="A664:B664"/>
    <mergeCell ref="A665:B665"/>
    <mergeCell ref="A648:B648"/>
    <mergeCell ref="A650:B650"/>
    <mergeCell ref="A651:B651"/>
    <mergeCell ref="A652:B652"/>
    <mergeCell ref="A653:B653"/>
    <mergeCell ref="A654:B654"/>
    <mergeCell ref="A649:B649"/>
    <mergeCell ref="A605:B605"/>
    <mergeCell ref="A606:B606"/>
    <mergeCell ref="A607:B607"/>
    <mergeCell ref="A608:B608"/>
    <mergeCell ref="A626:B626"/>
    <mergeCell ref="A627:B627"/>
    <mergeCell ref="A612:B612"/>
    <mergeCell ref="A613:B613"/>
    <mergeCell ref="A614:B614"/>
    <mergeCell ref="A615:B615"/>
    <mergeCell ref="A592:B592"/>
    <mergeCell ref="A593:B593"/>
    <mergeCell ref="A594:B594"/>
    <mergeCell ref="A602:B602"/>
    <mergeCell ref="A603:B603"/>
    <mergeCell ref="A604:B604"/>
    <mergeCell ref="A581:B581"/>
    <mergeCell ref="A582:B582"/>
    <mergeCell ref="A588:B588"/>
    <mergeCell ref="A589:B589"/>
    <mergeCell ref="A590:B590"/>
    <mergeCell ref="A591:B591"/>
    <mergeCell ref="A586:B586"/>
    <mergeCell ref="A570:B570"/>
    <mergeCell ref="A576:B576"/>
    <mergeCell ref="A577:B577"/>
    <mergeCell ref="A578:B578"/>
    <mergeCell ref="A579:B579"/>
    <mergeCell ref="A580:B580"/>
    <mergeCell ref="A574:B574"/>
    <mergeCell ref="A575:B575"/>
    <mergeCell ref="A564:B564"/>
    <mergeCell ref="A565:B565"/>
    <mergeCell ref="A566:B566"/>
    <mergeCell ref="A567:B567"/>
    <mergeCell ref="A568:B568"/>
    <mergeCell ref="A569:B569"/>
    <mergeCell ref="A563:B563"/>
    <mergeCell ref="A553:B553"/>
    <mergeCell ref="A554:B554"/>
    <mergeCell ref="A555:B555"/>
    <mergeCell ref="A556:B556"/>
    <mergeCell ref="A557:B557"/>
    <mergeCell ref="A558:B558"/>
    <mergeCell ref="A543:B543"/>
    <mergeCell ref="A544:B544"/>
    <mergeCell ref="A545:B545"/>
    <mergeCell ref="A546:B546"/>
    <mergeCell ref="A547:B547"/>
    <mergeCell ref="A552:B552"/>
    <mergeCell ref="A531:B531"/>
    <mergeCell ref="A532:B532"/>
    <mergeCell ref="A533:B533"/>
    <mergeCell ref="A540:B540"/>
    <mergeCell ref="A541:B541"/>
    <mergeCell ref="A542:B542"/>
    <mergeCell ref="A521:B521"/>
    <mergeCell ref="A522:B522"/>
    <mergeCell ref="A527:B527"/>
    <mergeCell ref="A528:B528"/>
    <mergeCell ref="A529:B529"/>
    <mergeCell ref="A530:B530"/>
    <mergeCell ref="A511:B511"/>
    <mergeCell ref="A516:B516"/>
    <mergeCell ref="A517:B517"/>
    <mergeCell ref="A518:B518"/>
    <mergeCell ref="A519:B519"/>
    <mergeCell ref="A520:B520"/>
    <mergeCell ref="A515:B515"/>
    <mergeCell ref="A505:B505"/>
    <mergeCell ref="A506:B506"/>
    <mergeCell ref="A507:B507"/>
    <mergeCell ref="A508:B508"/>
    <mergeCell ref="A509:B509"/>
    <mergeCell ref="A510:B510"/>
    <mergeCell ref="A495:B495"/>
    <mergeCell ref="A492:B492"/>
    <mergeCell ref="A496:B496"/>
    <mergeCell ref="A497:B497"/>
    <mergeCell ref="A498:B498"/>
    <mergeCell ref="A499:B499"/>
    <mergeCell ref="A485:B485"/>
    <mergeCell ref="A486:B486"/>
    <mergeCell ref="A487:B487"/>
    <mergeCell ref="A488:B488"/>
    <mergeCell ref="A493:B493"/>
    <mergeCell ref="A494:B494"/>
    <mergeCell ref="A457:B457"/>
    <mergeCell ref="A458:B458"/>
    <mergeCell ref="A459:B459"/>
    <mergeCell ref="A482:B482"/>
    <mergeCell ref="A483:B483"/>
    <mergeCell ref="A484:B484"/>
    <mergeCell ref="A481:B481"/>
    <mergeCell ref="A480:B480"/>
    <mergeCell ref="A469:B469"/>
    <mergeCell ref="A470:B470"/>
    <mergeCell ref="A447:B447"/>
    <mergeCell ref="A448:B448"/>
    <mergeCell ref="A453:B453"/>
    <mergeCell ref="A454:B454"/>
    <mergeCell ref="A455:B455"/>
    <mergeCell ref="A456:B456"/>
    <mergeCell ref="A452:B452"/>
    <mergeCell ref="A441:B441"/>
    <mergeCell ref="A442:B442"/>
    <mergeCell ref="A443:B443"/>
    <mergeCell ref="A444:B444"/>
    <mergeCell ref="A445:B445"/>
    <mergeCell ref="A446:B446"/>
    <mergeCell ref="A432:B432"/>
    <mergeCell ref="A433:B433"/>
    <mergeCell ref="A434:B434"/>
    <mergeCell ref="A435:B435"/>
    <mergeCell ref="A436:B436"/>
    <mergeCell ref="A437:B437"/>
    <mergeCell ref="A422:B422"/>
    <mergeCell ref="A423:B423"/>
    <mergeCell ref="A424:B424"/>
    <mergeCell ref="A425:B425"/>
    <mergeCell ref="A426:B426"/>
    <mergeCell ref="A431:B431"/>
    <mergeCell ref="A430:B430"/>
    <mergeCell ref="A412:B412"/>
    <mergeCell ref="A413:B413"/>
    <mergeCell ref="A414:B414"/>
    <mergeCell ref="A415:B415"/>
    <mergeCell ref="A420:B420"/>
    <mergeCell ref="A421:B421"/>
    <mergeCell ref="A403:B403"/>
    <mergeCell ref="A404:B404"/>
    <mergeCell ref="A409:B409"/>
    <mergeCell ref="A410:B410"/>
    <mergeCell ref="A411:B411"/>
    <mergeCell ref="A408:B408"/>
    <mergeCell ref="A393:B393"/>
    <mergeCell ref="A398:B398"/>
    <mergeCell ref="A399:B399"/>
    <mergeCell ref="A400:B400"/>
    <mergeCell ref="A401:B401"/>
    <mergeCell ref="A402:B402"/>
    <mergeCell ref="A387:B387"/>
    <mergeCell ref="A388:B388"/>
    <mergeCell ref="A389:B389"/>
    <mergeCell ref="A390:B390"/>
    <mergeCell ref="A391:B391"/>
    <mergeCell ref="A392:B392"/>
    <mergeCell ref="A375:B375"/>
    <mergeCell ref="A376:B376"/>
    <mergeCell ref="A377:B377"/>
    <mergeCell ref="A378:B378"/>
    <mergeCell ref="A379:B379"/>
    <mergeCell ref="A380:B380"/>
    <mergeCell ref="A365:B365"/>
    <mergeCell ref="A366:B366"/>
    <mergeCell ref="A367:B367"/>
    <mergeCell ref="A368:B368"/>
    <mergeCell ref="A369:B369"/>
    <mergeCell ref="A374:B374"/>
    <mergeCell ref="A373:B373"/>
    <mergeCell ref="A353:B353"/>
    <mergeCell ref="A354:B354"/>
    <mergeCell ref="A355:B355"/>
    <mergeCell ref="A356:B356"/>
    <mergeCell ref="A363:B363"/>
    <mergeCell ref="A364:B364"/>
    <mergeCell ref="A362:B362"/>
    <mergeCell ref="A331:B331"/>
    <mergeCell ref="A332:B332"/>
    <mergeCell ref="A333:B333"/>
    <mergeCell ref="A350:B350"/>
    <mergeCell ref="A351:B351"/>
    <mergeCell ref="A352:B352"/>
    <mergeCell ref="A348:B348"/>
    <mergeCell ref="A349:B349"/>
    <mergeCell ref="A337:B337"/>
    <mergeCell ref="A338:B338"/>
    <mergeCell ref="A322:B322"/>
    <mergeCell ref="A327:B327"/>
    <mergeCell ref="A328:B328"/>
    <mergeCell ref="A329:B329"/>
    <mergeCell ref="A326:B326"/>
    <mergeCell ref="A330:B330"/>
    <mergeCell ref="A320:B320"/>
    <mergeCell ref="A321:B321"/>
    <mergeCell ref="A314:B314"/>
    <mergeCell ref="A316:B316"/>
    <mergeCell ref="A317:B317"/>
    <mergeCell ref="A297:B297"/>
    <mergeCell ref="A306:B306"/>
    <mergeCell ref="A307:B307"/>
    <mergeCell ref="A308:B308"/>
    <mergeCell ref="A309:B309"/>
    <mergeCell ref="A298:B298"/>
    <mergeCell ref="A291:B291"/>
    <mergeCell ref="A319:B319"/>
    <mergeCell ref="A315:B315"/>
    <mergeCell ref="A318:B318"/>
    <mergeCell ref="A296:B296"/>
    <mergeCell ref="A283:B283"/>
    <mergeCell ref="A284:B284"/>
    <mergeCell ref="A285:B285"/>
    <mergeCell ref="A286:B286"/>
    <mergeCell ref="A287:B287"/>
    <mergeCell ref="A292:B292"/>
    <mergeCell ref="A273:B273"/>
    <mergeCell ref="A274:B274"/>
    <mergeCell ref="A275:B275"/>
    <mergeCell ref="A276:B276"/>
    <mergeCell ref="A281:B281"/>
    <mergeCell ref="A282:B282"/>
    <mergeCell ref="A280:B280"/>
    <mergeCell ref="A260:B260"/>
    <mergeCell ref="A261:B261"/>
    <mergeCell ref="A262:B262"/>
    <mergeCell ref="A270:B270"/>
    <mergeCell ref="A271:B271"/>
    <mergeCell ref="A272:B272"/>
    <mergeCell ref="A246:B246"/>
    <mergeCell ref="A247:B247"/>
    <mergeCell ref="A256:B256"/>
    <mergeCell ref="A257:B257"/>
    <mergeCell ref="A258:B258"/>
    <mergeCell ref="A259:B259"/>
    <mergeCell ref="A254:B254"/>
    <mergeCell ref="A232:B232"/>
    <mergeCell ref="A233:B233"/>
    <mergeCell ref="A234:B234"/>
    <mergeCell ref="A235:B235"/>
    <mergeCell ref="A236:B236"/>
    <mergeCell ref="A241:B241"/>
    <mergeCell ref="A240:B240"/>
    <mergeCell ref="A224:B224"/>
    <mergeCell ref="A225:B225"/>
    <mergeCell ref="A230:B230"/>
    <mergeCell ref="A231:B231"/>
    <mergeCell ref="A209:B209"/>
    <mergeCell ref="A210:B210"/>
    <mergeCell ref="A211:B211"/>
    <mergeCell ref="A212:B212"/>
    <mergeCell ref="A229:B229"/>
    <mergeCell ref="A222:B222"/>
    <mergeCell ref="A18:B18"/>
    <mergeCell ref="A58:B58"/>
    <mergeCell ref="A59:B59"/>
    <mergeCell ref="A60:B60"/>
    <mergeCell ref="A61:B61"/>
    <mergeCell ref="A19:B19"/>
    <mergeCell ref="A20:B20"/>
    <mergeCell ref="A57:B57"/>
    <mergeCell ref="A24:B24"/>
    <mergeCell ref="A21:B21"/>
    <mergeCell ref="A199:B199"/>
    <mergeCell ref="A200:B200"/>
    <mergeCell ref="A206:B206"/>
    <mergeCell ref="A207:B207"/>
    <mergeCell ref="A208:B208"/>
    <mergeCell ref="A205:B205"/>
    <mergeCell ref="A201:B201"/>
    <mergeCell ref="A183:B183"/>
    <mergeCell ref="A195:B195"/>
    <mergeCell ref="A196:B196"/>
    <mergeCell ref="A197:B197"/>
    <mergeCell ref="A198:B198"/>
    <mergeCell ref="A193:B193"/>
    <mergeCell ref="A184:B184"/>
    <mergeCell ref="A194:B194"/>
    <mergeCell ref="A181:B181"/>
    <mergeCell ref="A177:B177"/>
    <mergeCell ref="A139:B139"/>
    <mergeCell ref="A161:B161"/>
    <mergeCell ref="A162:B162"/>
    <mergeCell ref="A182:B182"/>
    <mergeCell ref="A167:B167"/>
    <mergeCell ref="A137:B137"/>
    <mergeCell ref="A138:B138"/>
    <mergeCell ref="A178:B178"/>
    <mergeCell ref="A179:B179"/>
    <mergeCell ref="A180:B180"/>
    <mergeCell ref="A133:B133"/>
    <mergeCell ref="A134:B134"/>
    <mergeCell ref="A135:B135"/>
    <mergeCell ref="A95:B95"/>
    <mergeCell ref="A96:B96"/>
    <mergeCell ref="A97:B97"/>
    <mergeCell ref="A98:B98"/>
    <mergeCell ref="A99:B99"/>
    <mergeCell ref="A80:B80"/>
    <mergeCell ref="A94:B94"/>
    <mergeCell ref="A62:B62"/>
    <mergeCell ref="A132:B132"/>
    <mergeCell ref="A74:B74"/>
    <mergeCell ref="A75:B75"/>
    <mergeCell ref="A76:B76"/>
    <mergeCell ref="A77:B77"/>
    <mergeCell ref="A78:B78"/>
    <mergeCell ref="A101:B101"/>
    <mergeCell ref="A100:B100"/>
    <mergeCell ref="A79:B79"/>
    <mergeCell ref="A219:B219"/>
    <mergeCell ref="A136:B136"/>
    <mergeCell ref="A223:B223"/>
    <mergeCell ref="A220:B220"/>
    <mergeCell ref="A221:B221"/>
    <mergeCell ref="A22:B22"/>
    <mergeCell ref="A23:B23"/>
    <mergeCell ref="A93:B93"/>
    <mergeCell ref="A73:B73"/>
    <mergeCell ref="A218:B218"/>
    <mergeCell ref="A244:B244"/>
    <mergeCell ref="A245:B245"/>
    <mergeCell ref="A16:B16"/>
    <mergeCell ref="A551:B551"/>
    <mergeCell ref="A385:B385"/>
    <mergeCell ref="A419:B419"/>
    <mergeCell ref="A503:B503"/>
    <mergeCell ref="A504:B504"/>
    <mergeCell ref="A63:B63"/>
    <mergeCell ref="A64:B64"/>
    <mergeCell ref="A17:B17"/>
    <mergeCell ref="A160:B160"/>
    <mergeCell ref="A131:B131"/>
    <mergeCell ref="A728:B728"/>
    <mergeCell ref="A729:B729"/>
    <mergeCell ref="A731:B731"/>
    <mergeCell ref="A242:B242"/>
    <mergeCell ref="A243:B243"/>
    <mergeCell ref="A617:B617"/>
    <mergeCell ref="A618:B618"/>
    <mergeCell ref="A901:B901"/>
    <mergeCell ref="A902:B902"/>
    <mergeCell ref="A911:B911"/>
    <mergeCell ref="A912:B912"/>
    <mergeCell ref="A913:B913"/>
    <mergeCell ref="A910:B910"/>
    <mergeCell ref="A874:B874"/>
    <mergeCell ref="A939:B939"/>
    <mergeCell ref="A2:F2"/>
    <mergeCell ref="A4:B4"/>
    <mergeCell ref="A5:B5"/>
    <mergeCell ref="A587:B587"/>
    <mergeCell ref="A704:B704"/>
    <mergeCell ref="A682:B682"/>
    <mergeCell ref="A693:B693"/>
    <mergeCell ref="A676:B676"/>
    <mergeCell ref="A7:B7"/>
    <mergeCell ref="A1350:B1350"/>
    <mergeCell ref="A1126:B1126"/>
    <mergeCell ref="A1137:B1137"/>
    <mergeCell ref="A1138:B1138"/>
    <mergeCell ref="A1169:B1169"/>
    <mergeCell ref="A1237:B1237"/>
    <mergeCell ref="A1158:B1158"/>
    <mergeCell ref="A1238:B1238"/>
    <mergeCell ref="A681:B681"/>
    <mergeCell ref="A6:B6"/>
    <mergeCell ref="A1230:B1230"/>
    <mergeCell ref="A1231:B1231"/>
    <mergeCell ref="A1114:B1114"/>
    <mergeCell ref="A269:B269"/>
    <mergeCell ref="A386:B386"/>
    <mergeCell ref="A397:B397"/>
    <mergeCell ref="A8:B8"/>
    <mergeCell ref="A9:B9"/>
    <mergeCell ref="A11:B11"/>
    <mergeCell ref="A12:B12"/>
    <mergeCell ref="A10:B10"/>
    <mergeCell ref="A13:B13"/>
    <mergeCell ref="A526:B526"/>
    <mergeCell ref="A756:B756"/>
    <mergeCell ref="A791:B791"/>
    <mergeCell ref="A779:B779"/>
    <mergeCell ref="A255:B255"/>
    <mergeCell ref="A624:B624"/>
    <mergeCell ref="A625:B625"/>
    <mergeCell ref="A873:B873"/>
    <mergeCell ref="A971:B971"/>
    <mergeCell ref="A726:B726"/>
    <mergeCell ref="A601:B601"/>
    <mergeCell ref="A875:B875"/>
    <mergeCell ref="A876:B876"/>
    <mergeCell ref="A877:B877"/>
    <mergeCell ref="A878:B878"/>
    <mergeCell ref="A879:B879"/>
    <mergeCell ref="A802:B802"/>
    <mergeCell ref="A880:B880"/>
    <mergeCell ref="A881:B881"/>
    <mergeCell ref="A896:B896"/>
    <mergeCell ref="A897:B897"/>
    <mergeCell ref="A898:B898"/>
    <mergeCell ref="A899:B899"/>
    <mergeCell ref="A895:B895"/>
    <mergeCell ref="A916:B916"/>
    <mergeCell ref="A917:B917"/>
    <mergeCell ref="A940:B940"/>
    <mergeCell ref="A941:B941"/>
    <mergeCell ref="A942:B942"/>
    <mergeCell ref="A943:B943"/>
    <mergeCell ref="A944:B944"/>
    <mergeCell ref="A945:B945"/>
    <mergeCell ref="A946:B946"/>
    <mergeCell ref="A954:B954"/>
    <mergeCell ref="A953:B953"/>
    <mergeCell ref="A955:B955"/>
    <mergeCell ref="A956:B956"/>
    <mergeCell ref="A957:B957"/>
    <mergeCell ref="A958:B958"/>
    <mergeCell ref="A959:B959"/>
    <mergeCell ref="A960:B960"/>
    <mergeCell ref="A972:B972"/>
    <mergeCell ref="A973:B973"/>
    <mergeCell ref="A974:B974"/>
    <mergeCell ref="A975:B975"/>
    <mergeCell ref="A976:B976"/>
    <mergeCell ref="A977:B977"/>
    <mergeCell ref="A978:B978"/>
    <mergeCell ref="A983:B983"/>
    <mergeCell ref="A984:B984"/>
    <mergeCell ref="A985:B985"/>
    <mergeCell ref="A986:B986"/>
    <mergeCell ref="A987:B987"/>
    <mergeCell ref="A982:B982"/>
    <mergeCell ref="A988:B988"/>
    <mergeCell ref="A989:B989"/>
    <mergeCell ref="A1000:B1000"/>
    <mergeCell ref="A1001:B1001"/>
    <mergeCell ref="A1002:B1002"/>
    <mergeCell ref="A1003:B1003"/>
    <mergeCell ref="A999:B999"/>
    <mergeCell ref="A1004:B1004"/>
    <mergeCell ref="A1005:B1005"/>
    <mergeCell ref="A1006:B1006"/>
    <mergeCell ref="A1035:B1035"/>
    <mergeCell ref="A1036:B1036"/>
    <mergeCell ref="A1037:B1037"/>
    <mergeCell ref="A1010:B1010"/>
    <mergeCell ref="A1015:B1015"/>
    <mergeCell ref="A1016:B1016"/>
    <mergeCell ref="A1017:B1017"/>
    <mergeCell ref="A1038:B1038"/>
    <mergeCell ref="A1034:B1034"/>
    <mergeCell ref="A1039:B1039"/>
    <mergeCell ref="A1040:B1040"/>
    <mergeCell ref="A1041:B1041"/>
    <mergeCell ref="A1058:B1058"/>
    <mergeCell ref="A1057:B1057"/>
    <mergeCell ref="A1056:B1056"/>
    <mergeCell ref="A1050:B1050"/>
    <mergeCell ref="A1051:B1051"/>
    <mergeCell ref="A1059:B1059"/>
    <mergeCell ref="A1060:B1060"/>
    <mergeCell ref="A1061:B1061"/>
    <mergeCell ref="A1062:B1062"/>
    <mergeCell ref="A1063:B1063"/>
    <mergeCell ref="A1064:B1064"/>
    <mergeCell ref="A1070:B1070"/>
    <mergeCell ref="A1071:B1071"/>
    <mergeCell ref="A1068:B1068"/>
    <mergeCell ref="A1072:B1072"/>
    <mergeCell ref="A1073:B1073"/>
    <mergeCell ref="A1074:B1074"/>
    <mergeCell ref="A1069:B1069"/>
    <mergeCell ref="A1075:B1075"/>
    <mergeCell ref="A1076:B1076"/>
    <mergeCell ref="A1082:B1082"/>
    <mergeCell ref="A1083:B1083"/>
    <mergeCell ref="A1084:B1084"/>
    <mergeCell ref="A1085:B1085"/>
    <mergeCell ref="A1081:B1081"/>
    <mergeCell ref="A1086:B1086"/>
    <mergeCell ref="A1087:B1087"/>
    <mergeCell ref="A1088:B1088"/>
    <mergeCell ref="A1103:B1103"/>
    <mergeCell ref="A1104:B1104"/>
    <mergeCell ref="A1105:B1105"/>
    <mergeCell ref="A1101:B1101"/>
    <mergeCell ref="A1102:B1102"/>
    <mergeCell ref="A1106:B1106"/>
    <mergeCell ref="A1107:B1107"/>
    <mergeCell ref="A1108:B1108"/>
    <mergeCell ref="A1109:B1109"/>
    <mergeCell ref="A1139:B1139"/>
    <mergeCell ref="A1140:B1140"/>
    <mergeCell ref="A1127:B1127"/>
    <mergeCell ref="A1128:B1128"/>
    <mergeCell ref="A1129:B1129"/>
    <mergeCell ref="A1130:B1130"/>
    <mergeCell ref="A1120:B1120"/>
    <mergeCell ref="A1121:B1121"/>
    <mergeCell ref="A1115:B1115"/>
    <mergeCell ref="A1116:B1116"/>
    <mergeCell ref="A1117:B1117"/>
    <mergeCell ref="A1118:B1118"/>
    <mergeCell ref="A1119:B1119"/>
    <mergeCell ref="A1131:B1131"/>
    <mergeCell ref="A1132:B1132"/>
    <mergeCell ref="A1144:B1144"/>
    <mergeCell ref="A1145:B1145"/>
    <mergeCell ref="A1159:B1159"/>
    <mergeCell ref="A1160:B1160"/>
    <mergeCell ref="A1133:B1133"/>
    <mergeCell ref="A1164:B1164"/>
    <mergeCell ref="A1165:B1165"/>
    <mergeCell ref="A1170:B1170"/>
    <mergeCell ref="A1171:B1171"/>
    <mergeCell ref="A1172:B1172"/>
    <mergeCell ref="A1173:B1173"/>
    <mergeCell ref="A1174:B1174"/>
    <mergeCell ref="A1175:B1175"/>
    <mergeCell ref="A1176:B1176"/>
    <mergeCell ref="A1181:B1181"/>
    <mergeCell ref="A1182:B1182"/>
    <mergeCell ref="A1180:B1180"/>
    <mergeCell ref="A1183:B1183"/>
    <mergeCell ref="A1184:B1184"/>
    <mergeCell ref="A1185:B1185"/>
    <mergeCell ref="A1186:B1186"/>
    <mergeCell ref="A1187:B1187"/>
    <mergeCell ref="A1196:B1196"/>
    <mergeCell ref="A1195:B1195"/>
    <mergeCell ref="A1197:B1197"/>
    <mergeCell ref="A1198:B1198"/>
    <mergeCell ref="A1199:B1199"/>
    <mergeCell ref="A1200:B1200"/>
    <mergeCell ref="A1201:B1201"/>
    <mergeCell ref="A1202:B1202"/>
    <mergeCell ref="A1208:B1208"/>
    <mergeCell ref="A1209:B1209"/>
    <mergeCell ref="A1210:B1210"/>
    <mergeCell ref="A1207:B1207"/>
    <mergeCell ref="A1211:B1211"/>
    <mergeCell ref="A1212:B1212"/>
    <mergeCell ref="A1213:B1213"/>
    <mergeCell ref="A1214:B1214"/>
    <mergeCell ref="A1219:B1219"/>
    <mergeCell ref="A1220:B1220"/>
    <mergeCell ref="A1218:B1218"/>
    <mergeCell ref="A1221:B1221"/>
    <mergeCell ref="A1222:B1222"/>
    <mergeCell ref="A1223:B1223"/>
    <mergeCell ref="A1224:B1224"/>
    <mergeCell ref="A1225:B1225"/>
    <mergeCell ref="A1239:B1239"/>
    <mergeCell ref="A1234:B1234"/>
    <mergeCell ref="A1235:B1235"/>
    <mergeCell ref="A1229:B1229"/>
    <mergeCell ref="A1233:B1233"/>
    <mergeCell ref="A1232:B1232"/>
    <mergeCell ref="A1246:B1246"/>
    <mergeCell ref="A1298:B1298"/>
    <mergeCell ref="A1299:B1299"/>
    <mergeCell ref="A1300:B1300"/>
    <mergeCell ref="A1301:B1301"/>
    <mergeCell ref="A1302:B1302"/>
    <mergeCell ref="A1297:B1297"/>
    <mergeCell ref="A1347:B1347"/>
    <mergeCell ref="A1348:B1348"/>
    <mergeCell ref="A1344:B1344"/>
    <mergeCell ref="A1316:B1316"/>
    <mergeCell ref="A1317:B1317"/>
    <mergeCell ref="A1318:B1318"/>
    <mergeCell ref="A1319:B1319"/>
    <mergeCell ref="A1320:B1320"/>
    <mergeCell ref="A1321:B1321"/>
    <mergeCell ref="A866:B866"/>
    <mergeCell ref="A1354:B1354"/>
    <mergeCell ref="A1355:B1355"/>
    <mergeCell ref="A1396:B1396"/>
    <mergeCell ref="A1395:B1395"/>
    <mergeCell ref="A1420:B1420"/>
    <mergeCell ref="A1419:B1419"/>
    <mergeCell ref="A1418:B1418"/>
    <mergeCell ref="A1417:B1417"/>
    <mergeCell ref="A1309:B1309"/>
    <mergeCell ref="A629:B629"/>
    <mergeCell ref="A644:B644"/>
    <mergeCell ref="A642:B642"/>
    <mergeCell ref="A14:B14"/>
    <mergeCell ref="A1397:B1397"/>
    <mergeCell ref="A1398:B1398"/>
    <mergeCell ref="A1303:B1303"/>
    <mergeCell ref="A1304:B1304"/>
    <mergeCell ref="A1351:B1351"/>
    <mergeCell ref="A1352:B1352"/>
    <mergeCell ref="A632:B632"/>
    <mergeCell ref="A616:B616"/>
    <mergeCell ref="A867:B867"/>
    <mergeCell ref="A868:B868"/>
    <mergeCell ref="A1240:B1240"/>
    <mergeCell ref="A1241:B1241"/>
    <mergeCell ref="A619:B619"/>
    <mergeCell ref="A620:B620"/>
    <mergeCell ref="A862:B862"/>
    <mergeCell ref="A628:B628"/>
    <mergeCell ref="A1049:B1049"/>
    <mergeCell ref="A869:B869"/>
    <mergeCell ref="A26:B26"/>
    <mergeCell ref="A15:B15"/>
    <mergeCell ref="A123:B123"/>
    <mergeCell ref="A140:B140"/>
    <mergeCell ref="A381:B381"/>
    <mergeCell ref="A643:B643"/>
    <mergeCell ref="A630:B630"/>
    <mergeCell ref="A631:B631"/>
    <mergeCell ref="A863:B863"/>
    <mergeCell ref="A864:B864"/>
    <mergeCell ref="A865:B865"/>
    <mergeCell ref="A1426:B1426"/>
    <mergeCell ref="A1427:B1427"/>
    <mergeCell ref="A1428:B1428"/>
    <mergeCell ref="A1045:B1045"/>
    <mergeCell ref="A1046:B1046"/>
    <mergeCell ref="A1047:B1047"/>
    <mergeCell ref="A1048:B1048"/>
    <mergeCell ref="A1429:B1429"/>
    <mergeCell ref="A1052:B1052"/>
    <mergeCell ref="A1424:B1424"/>
    <mergeCell ref="A1425:B1425"/>
    <mergeCell ref="A1243:B1243"/>
    <mergeCell ref="A1400:B1400"/>
    <mergeCell ref="A1353:B1353"/>
    <mergeCell ref="A1399:B1399"/>
    <mergeCell ref="A1345:B1345"/>
    <mergeCell ref="A1346:B1346"/>
  </mergeCells>
  <printOptions/>
  <pageMargins left="0.5905511811023623" right="0.35433070866141736" top="0.7874015748031497" bottom="0.7086614173228347" header="0.4724409448818898" footer="0.3937007874015748"/>
  <pageSetup horizontalDpi="180" verticalDpi="18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</dc:creator>
  <cp:keywords/>
  <dc:description/>
  <cp:lastModifiedBy>Margita Petric Hraste</cp:lastModifiedBy>
  <cp:lastPrinted>2023-11-08T14:30:21Z</cp:lastPrinted>
  <dcterms:created xsi:type="dcterms:W3CDTF">2004-01-09T13:07:12Z</dcterms:created>
  <dcterms:modified xsi:type="dcterms:W3CDTF">2023-11-08T15:00:25Z</dcterms:modified>
  <cp:category/>
  <cp:version/>
  <cp:contentType/>
  <cp:contentStatus/>
</cp:coreProperties>
</file>